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H\GH\FORMATOS EXCEL PAG WEB\LIQUIDADORES\"/>
    </mc:Choice>
  </mc:AlternateContent>
  <xr:revisionPtr revIDLastSave="0" documentId="13_ncr:1_{BC485BF2-C134-405F-BD74-3F1AA0A6C128}" xr6:coauthVersionLast="45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Porcentaje fijo %" sheetId="1" r:id="rId1"/>
    <sheet name="Aplicacion mensual" sheetId="2" r:id="rId2"/>
    <sheet name="FSP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2" l="1"/>
  <c r="F53" i="1"/>
  <c r="F51" i="1"/>
  <c r="F58" i="1"/>
  <c r="E21" i="2"/>
  <c r="E19" i="2" s="1"/>
  <c r="E20" i="2"/>
  <c r="F7" i="2"/>
  <c r="F10" i="1"/>
  <c r="H10" i="1"/>
  <c r="I24" i="1" s="1"/>
  <c r="H24" i="1" s="1"/>
  <c r="H26" i="1" s="1"/>
  <c r="F18" i="1"/>
  <c r="I25" i="1"/>
  <c r="G25" i="1"/>
  <c r="I23" i="1"/>
  <c r="G23" i="1"/>
  <c r="G40" i="2" l="1"/>
  <c r="H12" i="1"/>
  <c r="F17" i="1"/>
  <c r="H17" i="1"/>
  <c r="H18" i="1"/>
  <c r="F19" i="1"/>
  <c r="H19" i="1"/>
  <c r="I42" i="1" l="1"/>
  <c r="H42" i="1" s="1"/>
  <c r="I30" i="1"/>
  <c r="H36" i="1" s="1"/>
  <c r="H20" i="1"/>
  <c r="H27" i="1" s="1"/>
  <c r="H37" i="1" l="1"/>
  <c r="H43" i="1"/>
  <c r="H46" i="1" s="1"/>
  <c r="H47" i="1" s="1"/>
  <c r="H49" i="1" s="1"/>
  <c r="H51" i="1" s="1"/>
  <c r="H61" i="1" s="1"/>
  <c r="I39" i="1"/>
  <c r="H39" i="1" s="1"/>
  <c r="H40" i="1" l="1"/>
  <c r="H60" i="1"/>
  <c r="H63" i="1"/>
  <c r="H59" i="1"/>
  <c r="H62" i="1"/>
  <c r="H58" i="1"/>
  <c r="H53" i="1" s="1"/>
  <c r="E13" i="2" l="1"/>
  <c r="G27" i="2" s="1"/>
  <c r="E22" i="2"/>
  <c r="E30" i="2"/>
  <c r="E23" i="2" l="1"/>
  <c r="E31" i="2" l="1"/>
  <c r="E45" i="2"/>
  <c r="G34" i="2"/>
  <c r="E37" i="2" s="1"/>
  <c r="F12" i="1"/>
  <c r="G30" i="1" s="1"/>
  <c r="F36" i="1" s="1"/>
  <c r="E38" i="2" l="1"/>
  <c r="E40" i="2" s="1"/>
  <c r="E47" i="2" s="1"/>
  <c r="E49" i="2" s="1"/>
  <c r="E41" i="2"/>
  <c r="G42" i="1"/>
  <c r="F42" i="1" s="1"/>
  <c r="G24" i="1"/>
  <c r="F24" i="1" s="1"/>
  <c r="F26" i="1" s="1"/>
  <c r="F20" i="1"/>
  <c r="G28" i="2"/>
  <c r="G26" i="2"/>
  <c r="F27" i="1" l="1"/>
  <c r="F43" i="1"/>
  <c r="F46" i="1" s="1"/>
  <c r="F37" i="1"/>
  <c r="G39" i="1" l="1"/>
  <c r="F39" i="1" l="1"/>
  <c r="F40" i="1" s="1"/>
  <c r="F47" i="1"/>
  <c r="F49" i="1" s="1"/>
  <c r="F62" i="1" l="1"/>
  <c r="F59" i="1"/>
  <c r="F61" i="1"/>
  <c r="F60" i="1"/>
  <c r="F63" i="1"/>
</calcChain>
</file>

<file path=xl/sharedStrings.xml><?xml version="1.0" encoding="utf-8"?>
<sst xmlns="http://schemas.openxmlformats.org/spreadsheetml/2006/main" count="125" uniqueCount="102">
  <si>
    <t>Subtotal 1</t>
  </si>
  <si>
    <t>(-) INGRESOS QUE NO CONSTITUYEN INGRESO PARA EL TRABAJADOR</t>
  </si>
  <si>
    <t>Subtotal 2</t>
  </si>
  <si>
    <t>Total Deduciones</t>
  </si>
  <si>
    <t>Subtotal 4</t>
  </si>
  <si>
    <t>Total Rentas Exentas</t>
  </si>
  <si>
    <t>Subtotal 3</t>
  </si>
  <si>
    <t>Subtotal 5</t>
  </si>
  <si>
    <t>Ingreso Laboral Mensual Base para Retención en la Fuente</t>
  </si>
  <si>
    <t xml:space="preserve">Ingreso laboral gravado en UVT </t>
  </si>
  <si>
    <t>Rangos en UVT</t>
  </si>
  <si>
    <t>Tarifa Marginal</t>
  </si>
  <si>
    <t>Hasta</t>
  </si>
  <si>
    <t>&gt;95</t>
  </si>
  <si>
    <t>(Ingreso laboral gravado expresado en UVT menos 95 UVT)*19%</t>
  </si>
  <si>
    <t>&gt;150</t>
  </si>
  <si>
    <t>(Ingreso laboral gravado expresado en UVT menos 150 UVT)*28% más 10 UVT</t>
  </si>
  <si>
    <t>&gt;360</t>
  </si>
  <si>
    <t>(Ingreso laboral gravado expresado en UVT menos 360 UVT)*33% más 69 UVT</t>
  </si>
  <si>
    <t>RETENCIÓN SALARIOS</t>
  </si>
  <si>
    <t>Totalidad de ingresos renta de trabajo (Excluir prima de servicios procedimiento 1)</t>
  </si>
  <si>
    <t>Ingresos laborales</t>
  </si>
  <si>
    <t>INGRESOS NO CONSTITUTIVOS DE RENTA</t>
  </si>
  <si>
    <t>Total Ingresos no constitutivos</t>
  </si>
  <si>
    <t>DEDUCCIONES</t>
  </si>
  <si>
    <t>RENTAS EXENTAS</t>
  </si>
  <si>
    <t>Porcentaje Fijo de retención</t>
  </si>
  <si>
    <t>Retención mensual</t>
  </si>
  <si>
    <t>RETENCION EN LA FUENTE MENSUAL</t>
  </si>
  <si>
    <t>Salario. (Excluir Cesantías e intereses de cesantias).</t>
  </si>
  <si>
    <t>Pagos Recibidos por alimentación (Art 387-1 E.T.)</t>
  </si>
  <si>
    <t>Aportes Voluntarios Empleador Fondo de Pensiones (Art 126 -1 E.T.)</t>
  </si>
  <si>
    <t>Gastos de Entierro del Trabajador</t>
  </si>
  <si>
    <t>Gastos de Representación de algunos funcionarios oficiales</t>
  </si>
  <si>
    <t>Exenciones para miembros de las fuerzas armadas</t>
  </si>
  <si>
    <t>Indemnizaciones por enfermedad, maternidad o accidente de trabajo</t>
  </si>
  <si>
    <t xml:space="preserve">Aportes a cuentas AFC (Art 126 - 4 E.T.) </t>
  </si>
  <si>
    <t>,</t>
  </si>
  <si>
    <t>x</t>
  </si>
  <si>
    <t>1. Aportes obligatorios a Pension. (Art. 55 Estatuto Tributario)  Tener en cuenta tabla FSP</t>
  </si>
  <si>
    <t>5. Pago aporte ARL</t>
  </si>
  <si>
    <t>Otros pagos laborales (auxilios, primas legales, primas extralegales, subsidios, bonificaciones, aportes que le realice la empresa por cuenta de ella a los fondos de pensiones, etc.; además, según el artículo 386, no se incluyen cesantías ni intereses de cesantías)</t>
  </si>
  <si>
    <t>Medios de transporte distintos del subsidio de transporte (Concepto Dian 18381, julio 30 de 1990)</t>
  </si>
  <si>
    <t>TABLA FONDO DE SOLIDADRIDAD PENSIONAL</t>
  </si>
  <si>
    <t>RANGO SMLV</t>
  </si>
  <si>
    <t>% ADICIONAL</t>
  </si>
  <si>
    <t>&gt; = 4 a &lt; 16</t>
  </si>
  <si>
    <t>&gt; = 16 a 17</t>
  </si>
  <si>
    <t>De 17 a 18</t>
  </si>
  <si>
    <t>De 18 a 19</t>
  </si>
  <si>
    <t>De 19 a 20</t>
  </si>
  <si>
    <t>Superiores a 20</t>
  </si>
  <si>
    <r>
      <t xml:space="preserve">Viáticos ocasionales para manutención y alojamiento, tanto para empleados oficiales como de empresas privadas </t>
    </r>
    <r>
      <rPr>
        <b/>
        <sz val="11"/>
        <color rgb="FFFF0000"/>
        <rFont val="Arial"/>
        <family val="2"/>
      </rPr>
      <t>(ver el artículo 10 del Decreto 535 de 1987 (recopilado en el artículo 1.2.4.7 del DUT 1625 de 2016) y el artículo 8 del Decreto 823 de 1987 (recopilado en el artículo 1.2.1.11.2 del DUT 1625 de octubre de 2016).</t>
    </r>
  </si>
  <si>
    <t>Otros pagos laborales (auxilios, primas legales, primas extralegales, subsidios, bonificaciones, aportes que le realice la empresa por cuenta de ella a los fondos de pensiones, etc</t>
  </si>
  <si>
    <t>c. Lo recibido por intereses de cesantías (numeral 4 del artículo 206)</t>
  </si>
  <si>
    <t>a. Aportes Voluntarios Empleador Fondo de Pensiones (Art 126 -1 E.T.)</t>
  </si>
  <si>
    <t>Instrucción para calcular la retención ("impuesto") en $</t>
  </si>
  <si>
    <t>Cálculo en $ del valor de la retención para el asalariado</t>
  </si>
  <si>
    <t>desde</t>
  </si>
  <si>
    <t>Ninguna</t>
  </si>
  <si>
    <t>&gt;640</t>
  </si>
  <si>
    <t>(Ingreso laboral gravado expresado en UVT menos 640 UVT)*35% más 162 UVT</t>
  </si>
  <si>
    <t>&gt;945</t>
  </si>
  <si>
    <t>(Ingreso laboral gravado expresado en UVT menos 945 UVT)*37% más 268 UVT</t>
  </si>
  <si>
    <t>&gt;2300</t>
  </si>
  <si>
    <t>EN ADELANTE</t>
  </si>
  <si>
    <t>(Ingreso laboral gravado expresado en UVT menos 2300 UVT)*39% más 770 UVT</t>
  </si>
  <si>
    <t>EMPRESA</t>
  </si>
  <si>
    <t>NIT</t>
  </si>
  <si>
    <t>MES</t>
  </si>
  <si>
    <t>LIQUIDADOR RETENCIÓN EN LA FUENTE PROCEDIMIENTO 2 - % FIJO</t>
  </si>
  <si>
    <t>Nombre Empleado</t>
  </si>
  <si>
    <t>Documento Identificación</t>
  </si>
  <si>
    <t>LIQUIDADOR RETENCIÓN EN LA FUENTE PROCEDIMIENTO 2 - mensual</t>
  </si>
  <si>
    <t>UVT 2023</t>
  </si>
  <si>
    <t>Porcentaje Fijo de Retencion a aplicar 6 meses siguientes.</t>
  </si>
  <si>
    <t>UVT 2024</t>
  </si>
  <si>
    <t>sumatoria del sueldo de los últimos 12 meses anteiores al mes del cálculo</t>
  </si>
  <si>
    <t>smmlv 2023</t>
  </si>
  <si>
    <t>Cálculo en diciembre 2023 para aplicar en el primer semestre 2024</t>
  </si>
  <si>
    <t>Cálculo en junio 2024 para aplicar en el segundo semestre 2024</t>
  </si>
  <si>
    <t>Pagos brutos laborales efectuados al trabajador durante los 12 meses anteriores al mes de cálculo</t>
  </si>
  <si>
    <t>Pagos por aporte salud obligatoria del empleado (4%), efectuados en los 12 meses anteriores</t>
  </si>
  <si>
    <t>Aportes Obligatorios a Pensiones, efectuados en los 12 meses anteriores</t>
  </si>
  <si>
    <t>Fondo solidaridad pensional, efectuados en los 12 meses anteriores</t>
  </si>
  <si>
    <t>DEDUCCIONES.</t>
  </si>
  <si>
    <r>
      <t xml:space="preserve">Pago intereses de vivienda o Costo Financiero Leasing Habitacional. </t>
    </r>
    <r>
      <rPr>
        <b/>
        <sz val="11"/>
        <color rgb="FFFF0000"/>
        <rFont val="Arial"/>
        <family val="2"/>
      </rPr>
      <t>Limite maximo 100 UVT Mensuales y 1200 UVT Anuales</t>
    </r>
  </si>
  <si>
    <r>
      <t xml:space="preserve">Deducción por dependientes (Ver Art. 387 E.T.) </t>
    </r>
    <r>
      <rPr>
        <b/>
        <sz val="11"/>
        <color rgb="FFFF0000"/>
        <rFont val="Arial"/>
        <family val="2"/>
      </rPr>
      <t>No puede exceder del 10% del ingreso bruto del trabajador y maximo 32 UVT mensuales Y 384 UVT Anuales</t>
    </r>
  </si>
  <si>
    <r>
      <t xml:space="preserve">Pagos Por Salud medicina prepagada. </t>
    </r>
    <r>
      <rPr>
        <b/>
        <sz val="11"/>
        <color rgb="FFFF0000"/>
        <rFont val="Arial"/>
        <family val="2"/>
      </rPr>
      <t>No puede Exceder 16 Uvt Mensuales y 192 UVT Anuales</t>
    </r>
  </si>
  <si>
    <t>Renta de Trabajo Exenta (25%) Maximo 790 UVT anuales</t>
  </si>
  <si>
    <t>El Subtotal 5 se divide por 13 (O el numero de meses de vinculacion, en este caso cambiar formula por los meses que correspondan)</t>
  </si>
  <si>
    <t>Sumatoria rentas exentas y deducciones no pueden exceder del 40% del ingreso laboral o tributario del año y hasta un maximo de 1.349 UVT por año.</t>
  </si>
  <si>
    <t>smmlv 2024</t>
  </si>
  <si>
    <t>3. Aportes obligatorios a salud. (Art. 56 Estatuto Tributario)</t>
  </si>
  <si>
    <t>2. Aportes FSP. (Art. 55 Estatuto Tributario)  Tener en cuenta tabla FSP</t>
  </si>
  <si>
    <t>Pago intereses de vivienda o Costo Financiero Leasing Habitacional. Limite maximo 100 UVT Mensuales</t>
  </si>
  <si>
    <r>
      <t xml:space="preserve">2. Deduccion por dependientes (Ver Art. 387 E.T.) </t>
    </r>
    <r>
      <rPr>
        <b/>
        <i/>
        <sz val="11"/>
        <color rgb="FFFF0000"/>
        <rFont val="Arial"/>
        <family val="2"/>
      </rPr>
      <t>No puede exceder del 10% del ingreso bruto del trabajador y maximo 32 UVT mensuales,</t>
    </r>
  </si>
  <si>
    <r>
      <t xml:space="preserve">3. Pagos Por Salud medicina prepagada. </t>
    </r>
    <r>
      <rPr>
        <b/>
        <i/>
        <sz val="11"/>
        <color rgb="FFFF0000"/>
        <rFont val="Arial"/>
        <family val="2"/>
      </rPr>
      <t>No puede Exceder 16 Uvt Mensuales.</t>
    </r>
  </si>
  <si>
    <r>
      <t xml:space="preserve">b. Aportes a cuentas AFC (Art 126 - 4 E.T.) </t>
    </r>
    <r>
      <rPr>
        <b/>
        <i/>
        <sz val="11"/>
        <color rgb="FFFF0000"/>
        <rFont val="Arial"/>
        <family val="2"/>
      </rPr>
      <t>La Sumatoria de los beneficios b (Aportes voluntarios) y c (Aportes AFC), no pueden exceder del 30% del ingreso laboral o tributario del año y hasta un maximo de 3.800 Uvt por año. Art. 126-1 E.T.</t>
    </r>
  </si>
  <si>
    <t>Renta de Trabajo Exenta (25%). (790 Uvt anuales)</t>
  </si>
  <si>
    <t>La sumatoria de las Deducciones, Rentas exentas y el 25% de la renta de trabajo exenta, no podra superar el 40% del ingreso señalado en el subtotal 1 hasta 1340 UVT</t>
  </si>
  <si>
    <t>Renta exenta del 40% (si la nota anterior se supera) o 1340 uvt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</si>
</sst>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[Red]\-&quot;$&quot;\ #,##0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&quot;$&quot;\ * #,##0_ ;_ &quot;$&quot;\ * \-#,##0_ ;_ &quot;$&quot;\ * &quot;-&quot;??_ ;_ @_ "/>
    <numFmt numFmtId="170" formatCode="_ &quot;$&quot;\ * #,##0.00_ ;_ &quot;$&quot;\ * \-#,##0.00_ ;_ &quot;$&quot;\ * &quot;-&quot;??_ ;_ @_ "/>
    <numFmt numFmtId="171" formatCode="0.0%"/>
    <numFmt numFmtId="172" formatCode="_-&quot;$&quot;* #,##0_-;\-&quot;$&quot;* #,##0_-;_-&quot;$&quot;* &quot;-&quot;??_-;_-@_-"/>
    <numFmt numFmtId="173" formatCode="0.000%"/>
    <numFmt numFmtId="17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 val="singleAccounting"/>
      <sz val="11"/>
      <color theme="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/>
    <xf numFmtId="0" fontId="3" fillId="3" borderId="0" xfId="0" applyFont="1" applyFill="1" applyBorder="1"/>
    <xf numFmtId="169" fontId="7" fillId="3" borderId="0" xfId="6" applyNumberFormat="1" applyFont="1" applyFill="1" applyBorder="1"/>
    <xf numFmtId="0" fontId="0" fillId="0" borderId="0" xfId="0" applyFont="1"/>
    <xf numFmtId="0" fontId="4" fillId="3" borderId="0" xfId="8" applyFont="1" applyFill="1" applyBorder="1" applyAlignment="1">
      <alignment vertical="center" wrapText="1"/>
    </xf>
    <xf numFmtId="170" fontId="4" fillId="3" borderId="0" xfId="6" applyNumberFormat="1" applyFont="1" applyFill="1" applyBorder="1" applyAlignment="1">
      <alignment vertical="center"/>
    </xf>
    <xf numFmtId="169" fontId="7" fillId="2" borderId="10" xfId="3" applyNumberFormat="1" applyFont="1" applyBorder="1" applyAlignment="1">
      <alignment vertical="center"/>
    </xf>
    <xf numFmtId="169" fontId="7" fillId="2" borderId="21" xfId="3" applyNumberFormat="1" applyFont="1" applyBorder="1" applyAlignment="1">
      <alignment vertical="center"/>
    </xf>
    <xf numFmtId="166" fontId="3" fillId="3" borderId="0" xfId="5" applyFont="1" applyFill="1"/>
    <xf numFmtId="0" fontId="3" fillId="3" borderId="0" xfId="0" applyFont="1" applyFill="1" applyBorder="1"/>
    <xf numFmtId="0" fontId="4" fillId="3" borderId="0" xfId="8" applyFont="1" applyFill="1" applyBorder="1" applyAlignment="1">
      <alignment vertical="center"/>
    </xf>
    <xf numFmtId="169" fontId="4" fillId="3" borderId="0" xfId="6" applyNumberFormat="1" applyFont="1" applyFill="1" applyBorder="1" applyAlignment="1">
      <alignment vertical="center"/>
    </xf>
    <xf numFmtId="0" fontId="4" fillId="3" borderId="0" xfId="8" applyFont="1" applyFill="1" applyAlignment="1">
      <alignment vertical="center"/>
    </xf>
    <xf numFmtId="169" fontId="7" fillId="3" borderId="0" xfId="6" applyNumberFormat="1" applyFont="1" applyFill="1" applyBorder="1"/>
    <xf numFmtId="166" fontId="4" fillId="3" borderId="0" xfId="5" applyFont="1" applyFill="1" applyAlignment="1">
      <alignment vertical="center"/>
    </xf>
    <xf numFmtId="0" fontId="4" fillId="3" borderId="0" xfId="8" applyFont="1" applyFill="1" applyBorder="1" applyAlignment="1">
      <alignment horizontal="left" vertical="center"/>
    </xf>
    <xf numFmtId="169" fontId="7" fillId="3" borderId="0" xfId="6" applyNumberFormat="1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9" fontId="4" fillId="3" borderId="10" xfId="6" applyNumberFormat="1" applyFont="1" applyFill="1" applyBorder="1" applyAlignment="1">
      <alignment horizontal="center" vertical="center"/>
    </xf>
    <xf numFmtId="172" fontId="0" fillId="0" borderId="0" xfId="0" applyNumberFormat="1" applyFont="1"/>
    <xf numFmtId="164" fontId="0" fillId="0" borderId="0" xfId="0" applyNumberFormat="1"/>
    <xf numFmtId="173" fontId="3" fillId="0" borderId="0" xfId="2" applyNumberFormat="1" applyFont="1"/>
    <xf numFmtId="0" fontId="0" fillId="3" borderId="0" xfId="0" applyFill="1"/>
    <xf numFmtId="0" fontId="13" fillId="0" borderId="21" xfId="16" applyFont="1" applyBorder="1" applyAlignment="1">
      <alignment horizontal="center" vertical="center" wrapText="1"/>
    </xf>
    <xf numFmtId="9" fontId="13" fillId="0" borderId="21" xfId="16" applyNumberFormat="1" applyFont="1" applyBorder="1" applyAlignment="1">
      <alignment horizontal="center" vertical="center" wrapText="1"/>
    </xf>
    <xf numFmtId="164" fontId="13" fillId="0" borderId="21" xfId="16" applyNumberFormat="1" applyFont="1" applyBorder="1" applyAlignment="1">
      <alignment horizontal="center" vertical="center" wrapText="1"/>
    </xf>
    <xf numFmtId="9" fontId="13" fillId="0" borderId="10" xfId="16" applyNumberFormat="1" applyFont="1" applyBorder="1" applyAlignment="1">
      <alignment horizontal="center" vertical="center" wrapText="1"/>
    </xf>
    <xf numFmtId="164" fontId="13" fillId="0" borderId="10" xfId="16" applyNumberFormat="1" applyFont="1" applyBorder="1" applyAlignment="1">
      <alignment horizontal="center" vertical="center" wrapText="1"/>
    </xf>
    <xf numFmtId="0" fontId="4" fillId="5" borderId="10" xfId="8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4" fillId="3" borderId="4" xfId="0" applyFont="1" applyFill="1" applyBorder="1" applyAlignment="1"/>
    <xf numFmtId="0" fontId="5" fillId="3" borderId="0" xfId="0" applyFont="1" applyFill="1" applyBorder="1" applyAlignment="1"/>
    <xf numFmtId="0" fontId="5" fillId="3" borderId="4" xfId="0" applyFont="1" applyFill="1" applyBorder="1" applyAlignment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3" fillId="3" borderId="37" xfId="0" applyFont="1" applyFill="1" applyBorder="1" applyAlignment="1"/>
    <xf numFmtId="0" fontId="4" fillId="3" borderId="38" xfId="0" applyFont="1" applyFill="1" applyBorder="1" applyAlignment="1"/>
    <xf numFmtId="0" fontId="5" fillId="3" borderId="38" xfId="0" applyFont="1" applyFill="1" applyBorder="1" applyAlignment="1"/>
    <xf numFmtId="0" fontId="5" fillId="3" borderId="39" xfId="0" applyFont="1" applyFill="1" applyBorder="1" applyAlignment="1"/>
    <xf numFmtId="0" fontId="6" fillId="6" borderId="23" xfId="8" applyFont="1" applyFill="1" applyBorder="1" applyAlignment="1">
      <alignment horizontal="center" vertical="center"/>
    </xf>
    <xf numFmtId="17" fontId="4" fillId="3" borderId="11" xfId="8" applyNumberFormat="1" applyFont="1" applyFill="1" applyBorder="1" applyAlignment="1">
      <alignment vertical="center"/>
    </xf>
    <xf numFmtId="17" fontId="4" fillId="3" borderId="13" xfId="8" applyNumberFormat="1" applyFont="1" applyFill="1" applyBorder="1" applyAlignment="1">
      <alignment horizontal="left" vertical="center"/>
    </xf>
    <xf numFmtId="171" fontId="6" fillId="6" borderId="10" xfId="0" applyNumberFormat="1" applyFont="1" applyFill="1" applyBorder="1" applyAlignment="1">
      <alignment horizontal="center" vertical="center" wrapText="1"/>
    </xf>
    <xf numFmtId="0" fontId="12" fillId="8" borderId="13" xfId="16" applyFont="1" applyFill="1" applyBorder="1" applyAlignment="1">
      <alignment horizontal="center" vertical="top" wrapText="1"/>
    </xf>
    <xf numFmtId="0" fontId="12" fillId="8" borderId="14" xfId="16" applyFont="1" applyFill="1" applyBorder="1" applyAlignment="1">
      <alignment horizontal="center" vertical="top" wrapText="1"/>
    </xf>
    <xf numFmtId="169" fontId="7" fillId="0" borderId="21" xfId="6" applyNumberFormat="1" applyFont="1" applyFill="1" applyBorder="1" applyAlignment="1">
      <alignment vertical="center"/>
    </xf>
    <xf numFmtId="0" fontId="3" fillId="0" borderId="0" xfId="0" applyFont="1" applyFill="1"/>
    <xf numFmtId="169" fontId="7" fillId="0" borderId="10" xfId="6" applyNumberFormat="1" applyFont="1" applyFill="1" applyBorder="1" applyAlignment="1">
      <alignment vertical="center"/>
    </xf>
    <xf numFmtId="0" fontId="4" fillId="0" borderId="34" xfId="8" applyFont="1" applyFill="1" applyBorder="1" applyAlignment="1">
      <alignment vertical="center"/>
    </xf>
    <xf numFmtId="169" fontId="4" fillId="0" borderId="34" xfId="6" applyNumberFormat="1" applyFont="1" applyFill="1" applyBorder="1" applyAlignment="1">
      <alignment vertical="center"/>
    </xf>
    <xf numFmtId="0" fontId="4" fillId="0" borderId="10" xfId="8" applyFont="1" applyFill="1" applyBorder="1" applyAlignment="1">
      <alignment vertical="center"/>
    </xf>
    <xf numFmtId="169" fontId="4" fillId="0" borderId="10" xfId="6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169" fontId="4" fillId="0" borderId="0" xfId="6" applyNumberFormat="1" applyFont="1" applyFill="1" applyBorder="1" applyAlignment="1">
      <alignment vertical="center"/>
    </xf>
    <xf numFmtId="169" fontId="14" fillId="0" borderId="0" xfId="0" applyNumberFormat="1" applyFont="1" applyFill="1"/>
    <xf numFmtId="169" fontId="7" fillId="0" borderId="10" xfId="6" applyNumberFormat="1" applyFont="1" applyFill="1" applyBorder="1"/>
    <xf numFmtId="170" fontId="4" fillId="0" borderId="10" xfId="6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4" fillId="0" borderId="0" xfId="8" applyFont="1" applyFill="1" applyAlignment="1">
      <alignment vertical="center"/>
    </xf>
    <xf numFmtId="172" fontId="4" fillId="0" borderId="0" xfId="1" applyNumberFormat="1" applyFont="1" applyFill="1" applyBorder="1" applyAlignment="1">
      <alignment vertical="center"/>
    </xf>
    <xf numFmtId="172" fontId="0" fillId="0" borderId="0" xfId="1" applyNumberFormat="1" applyFont="1" applyFill="1"/>
    <xf numFmtId="0" fontId="4" fillId="0" borderId="0" xfId="8" applyFont="1" applyFill="1" applyBorder="1" applyAlignment="1">
      <alignment horizontal="left" vertical="center"/>
    </xf>
    <xf numFmtId="169" fontId="7" fillId="0" borderId="0" xfId="6" applyNumberFormat="1" applyFont="1" applyFill="1" applyAlignment="1">
      <alignment horizontal="left"/>
    </xf>
    <xf numFmtId="166" fontId="3" fillId="0" borderId="0" xfId="5" applyFont="1" applyFill="1"/>
    <xf numFmtId="0" fontId="7" fillId="0" borderId="27" xfId="8" applyFont="1" applyFill="1" applyBorder="1" applyAlignment="1">
      <alignment horizontal="left" vertical="center"/>
    </xf>
    <xf numFmtId="0" fontId="13" fillId="0" borderId="10" xfId="16" applyFont="1" applyBorder="1" applyAlignment="1">
      <alignment horizontal="center" vertical="center" wrapText="1"/>
    </xf>
    <xf numFmtId="0" fontId="13" fillId="0" borderId="10" xfId="16" applyFont="1" applyBorder="1" applyAlignment="1">
      <alignment horizontal="center" vertical="center" wrapText="1"/>
    </xf>
    <xf numFmtId="167" fontId="13" fillId="0" borderId="21" xfId="6" applyFont="1" applyBorder="1" applyAlignment="1">
      <alignment horizontal="center" vertical="center"/>
    </xf>
    <xf numFmtId="0" fontId="12" fillId="8" borderId="12" xfId="16" applyFont="1" applyFill="1" applyBorder="1" applyAlignment="1">
      <alignment horizontal="center" vertical="center" wrapText="1"/>
    </xf>
    <xf numFmtId="0" fontId="12" fillId="8" borderId="14" xfId="16" applyFont="1" applyFill="1" applyBorder="1" applyAlignment="1">
      <alignment horizontal="center" vertical="center" wrapText="1"/>
    </xf>
    <xf numFmtId="164" fontId="12" fillId="8" borderId="36" xfId="16" applyNumberFormat="1" applyFont="1" applyFill="1" applyBorder="1" applyAlignment="1">
      <alignment horizontal="center" vertical="top" wrapText="1"/>
    </xf>
    <xf numFmtId="164" fontId="12" fillId="8" borderId="15" xfId="16" applyNumberFormat="1" applyFont="1" applyFill="1" applyBorder="1" applyAlignment="1">
      <alignment horizontal="center" vertical="top" wrapText="1"/>
    </xf>
    <xf numFmtId="0" fontId="7" fillId="0" borderId="27" xfId="8" applyFont="1" applyFill="1" applyBorder="1" applyAlignment="1">
      <alignment vertical="center"/>
    </xf>
    <xf numFmtId="0" fontId="7" fillId="0" borderId="22" xfId="8" applyFont="1" applyFill="1" applyBorder="1" applyAlignment="1">
      <alignment vertical="center"/>
    </xf>
    <xf numFmtId="0" fontId="7" fillId="0" borderId="28" xfId="8" applyFont="1" applyFill="1" applyBorder="1" applyAlignment="1">
      <alignment vertical="center"/>
    </xf>
    <xf numFmtId="0" fontId="7" fillId="0" borderId="27" xfId="8" applyFont="1" applyFill="1" applyBorder="1" applyAlignment="1">
      <alignment horizontal="left" vertical="center"/>
    </xf>
    <xf numFmtId="0" fontId="7" fillId="0" borderId="22" xfId="8" applyFont="1" applyFill="1" applyBorder="1" applyAlignment="1">
      <alignment horizontal="left" vertical="center"/>
    </xf>
    <xf numFmtId="0" fontId="7" fillId="0" borderId="28" xfId="8" applyFont="1" applyFill="1" applyBorder="1" applyAlignment="1">
      <alignment horizontal="left" vertical="center"/>
    </xf>
    <xf numFmtId="0" fontId="7" fillId="0" borderId="27" xfId="8" applyFont="1" applyFill="1" applyBorder="1" applyAlignment="1">
      <alignment horizontal="left" vertical="center" wrapText="1"/>
    </xf>
    <xf numFmtId="0" fontId="7" fillId="0" borderId="22" xfId="8" applyFont="1" applyFill="1" applyBorder="1" applyAlignment="1">
      <alignment horizontal="left" vertical="center" wrapText="1"/>
    </xf>
    <xf numFmtId="0" fontId="7" fillId="0" borderId="28" xfId="8" applyFont="1" applyFill="1" applyBorder="1" applyAlignment="1">
      <alignment horizontal="left" vertical="center" wrapText="1"/>
    </xf>
    <xf numFmtId="0" fontId="7" fillId="2" borderId="27" xfId="3" applyFont="1" applyBorder="1" applyAlignment="1">
      <alignment vertical="center" wrapText="1"/>
    </xf>
    <xf numFmtId="0" fontId="7" fillId="2" borderId="22" xfId="3" applyFont="1" applyBorder="1" applyAlignment="1">
      <alignment vertical="center" wrapText="1"/>
    </xf>
    <xf numFmtId="0" fontId="7" fillId="2" borderId="28" xfId="3" applyFont="1" applyBorder="1" applyAlignment="1">
      <alignment vertical="center" wrapText="1"/>
    </xf>
    <xf numFmtId="0" fontId="12" fillId="8" borderId="33" xfId="16" applyFont="1" applyFill="1" applyBorder="1" applyAlignment="1">
      <alignment horizontal="center" vertical="center" wrapText="1"/>
    </xf>
    <xf numFmtId="0" fontId="12" fillId="8" borderId="35" xfId="16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25" xfId="8" applyFont="1" applyFill="1" applyBorder="1" applyAlignment="1">
      <alignment horizontal="left" vertical="center"/>
    </xf>
    <xf numFmtId="0" fontId="7" fillId="0" borderId="26" xfId="8" applyFont="1" applyFill="1" applyBorder="1" applyAlignment="1">
      <alignment horizontal="left" vertical="center"/>
    </xf>
    <xf numFmtId="0" fontId="7" fillId="0" borderId="35" xfId="8" applyFont="1" applyFill="1" applyBorder="1" applyAlignment="1">
      <alignment horizontal="left" vertical="center"/>
    </xf>
    <xf numFmtId="0" fontId="7" fillId="0" borderId="25" xfId="8" applyFont="1" applyFill="1" applyBorder="1" applyAlignment="1">
      <alignment horizontal="left" vertical="center" wrapText="1"/>
    </xf>
    <xf numFmtId="0" fontId="7" fillId="0" borderId="26" xfId="8" applyFont="1" applyFill="1" applyBorder="1" applyAlignment="1">
      <alignment horizontal="left" vertical="center" wrapText="1"/>
    </xf>
    <xf numFmtId="0" fontId="7" fillId="0" borderId="35" xfId="8" applyFont="1" applyFill="1" applyBorder="1" applyAlignment="1">
      <alignment horizontal="left" vertical="center" wrapText="1"/>
    </xf>
    <xf numFmtId="0" fontId="7" fillId="0" borderId="27" xfId="8" applyFont="1" applyFill="1" applyBorder="1" applyAlignment="1">
      <alignment vertical="center" wrapText="1"/>
    </xf>
    <xf numFmtId="0" fontId="7" fillId="0" borderId="22" xfId="8" applyFont="1" applyFill="1" applyBorder="1" applyAlignment="1">
      <alignment vertical="center" wrapText="1"/>
    </xf>
    <xf numFmtId="0" fontId="7" fillId="0" borderId="28" xfId="8" applyFont="1" applyFill="1" applyBorder="1" applyAlignment="1">
      <alignment vertical="center" wrapText="1"/>
    </xf>
    <xf numFmtId="17" fontId="4" fillId="3" borderId="12" xfId="8" applyNumberFormat="1" applyFont="1" applyFill="1" applyBorder="1" applyAlignment="1">
      <alignment vertical="center"/>
    </xf>
    <xf numFmtId="17" fontId="4" fillId="3" borderId="36" xfId="8" applyNumberFormat="1" applyFont="1" applyFill="1" applyBorder="1" applyAlignment="1">
      <alignment vertical="center"/>
    </xf>
    <xf numFmtId="17" fontId="4" fillId="3" borderId="14" xfId="8" applyNumberFormat="1" applyFont="1" applyFill="1" applyBorder="1" applyAlignment="1">
      <alignment horizontal="left" vertical="center"/>
    </xf>
    <xf numFmtId="17" fontId="4" fillId="3" borderId="15" xfId="8" applyNumberFormat="1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7" fillId="2" borderId="25" xfId="3" applyFont="1" applyBorder="1" applyAlignment="1">
      <alignment vertical="center"/>
    </xf>
    <xf numFmtId="0" fontId="7" fillId="2" borderId="26" xfId="3" applyFont="1" applyBorder="1" applyAlignment="1">
      <alignment vertical="center"/>
    </xf>
    <xf numFmtId="0" fontId="7" fillId="2" borderId="35" xfId="3" applyFont="1" applyBorder="1" applyAlignment="1">
      <alignment vertical="center"/>
    </xf>
    <xf numFmtId="0" fontId="4" fillId="2" borderId="1" xfId="3" applyFont="1" applyAlignment="1">
      <alignment horizontal="center" vertical="center" wrapText="1"/>
    </xf>
    <xf numFmtId="172" fontId="4" fillId="0" borderId="24" xfId="1" applyNumberFormat="1" applyFont="1" applyFill="1" applyBorder="1" applyAlignment="1">
      <alignment horizontal="center" vertical="center"/>
    </xf>
    <xf numFmtId="172" fontId="4" fillId="0" borderId="30" xfId="1" applyNumberFormat="1" applyFont="1" applyFill="1" applyBorder="1" applyAlignment="1">
      <alignment horizontal="center" vertical="center"/>
    </xf>
    <xf numFmtId="17" fontId="6" fillId="9" borderId="17" xfId="8" applyNumberFormat="1" applyFont="1" applyFill="1" applyBorder="1" applyAlignment="1">
      <alignment horizontal="center" vertical="center"/>
    </xf>
    <xf numFmtId="17" fontId="6" fillId="9" borderId="19" xfId="8" applyNumberFormat="1" applyFont="1" applyFill="1" applyBorder="1" applyAlignment="1">
      <alignment horizontal="center" vertical="center"/>
    </xf>
    <xf numFmtId="172" fontId="6" fillId="10" borderId="17" xfId="1" applyNumberFormat="1" applyFont="1" applyFill="1" applyBorder="1" applyAlignment="1">
      <alignment horizontal="left" vertical="center"/>
    </xf>
    <xf numFmtId="172" fontId="6" fillId="10" borderId="9" xfId="1" applyNumberFormat="1" applyFont="1" applyFill="1" applyBorder="1" applyAlignment="1">
      <alignment horizontal="left" vertical="center"/>
    </xf>
    <xf numFmtId="169" fontId="5" fillId="2" borderId="1" xfId="3" applyNumberFormat="1" applyFont="1" applyAlignment="1">
      <alignment horizontal="center" vertical="center"/>
    </xf>
    <xf numFmtId="10" fontId="6" fillId="10" borderId="17" xfId="2" applyNumberFormat="1" applyFont="1" applyFill="1" applyBorder="1" applyAlignment="1">
      <alignment horizontal="right" vertical="center"/>
    </xf>
    <xf numFmtId="10" fontId="6" fillId="10" borderId="9" xfId="2" applyNumberFormat="1" applyFont="1" applyFill="1" applyBorder="1" applyAlignment="1">
      <alignment horizontal="right" vertical="center"/>
    </xf>
    <xf numFmtId="0" fontId="4" fillId="0" borderId="17" xfId="8" applyFont="1" applyFill="1" applyBorder="1" applyAlignment="1">
      <alignment horizontal="left" vertical="center"/>
    </xf>
    <xf numFmtId="0" fontId="4" fillId="0" borderId="19" xfId="8" applyFont="1" applyFill="1" applyBorder="1" applyAlignment="1">
      <alignment horizontal="left" vertical="center"/>
    </xf>
    <xf numFmtId="172" fontId="4" fillId="0" borderId="17" xfId="1" applyNumberFormat="1" applyFont="1" applyFill="1" applyBorder="1" applyAlignment="1">
      <alignment horizontal="center" vertical="center"/>
    </xf>
    <xf numFmtId="172" fontId="4" fillId="0" borderId="9" xfId="1" applyNumberFormat="1" applyFont="1" applyFill="1" applyBorder="1" applyAlignment="1">
      <alignment horizontal="center" vertical="center"/>
    </xf>
    <xf numFmtId="0" fontId="4" fillId="0" borderId="13" xfId="8" applyFont="1" applyFill="1" applyBorder="1" applyAlignment="1">
      <alignment horizontal="left" vertical="center"/>
    </xf>
    <xf numFmtId="0" fontId="4" fillId="0" borderId="14" xfId="8" applyFont="1" applyFill="1" applyBorder="1" applyAlignment="1">
      <alignment horizontal="left" vertical="center"/>
    </xf>
    <xf numFmtId="17" fontId="6" fillId="9" borderId="9" xfId="8" applyNumberFormat="1" applyFont="1" applyFill="1" applyBorder="1" applyAlignment="1">
      <alignment horizontal="center" vertical="center"/>
    </xf>
    <xf numFmtId="172" fontId="4" fillId="0" borderId="32" xfId="1" applyNumberFormat="1" applyFont="1" applyFill="1" applyBorder="1" applyAlignment="1">
      <alignment horizontal="center" vertical="center"/>
    </xf>
    <xf numFmtId="17" fontId="6" fillId="9" borderId="5" xfId="8" applyNumberFormat="1" applyFont="1" applyFill="1" applyBorder="1" applyAlignment="1">
      <alignment horizontal="center" vertical="center"/>
    </xf>
    <xf numFmtId="17" fontId="6" fillId="9" borderId="6" xfId="8" applyNumberFormat="1" applyFont="1" applyFill="1" applyBorder="1" applyAlignment="1">
      <alignment horizontal="center" vertical="center"/>
    </xf>
    <xf numFmtId="17" fontId="6" fillId="9" borderId="7" xfId="8" applyNumberFormat="1" applyFont="1" applyFill="1" applyBorder="1" applyAlignment="1">
      <alignment horizontal="center" vertical="center"/>
    </xf>
    <xf numFmtId="172" fontId="7" fillId="0" borderId="27" xfId="1" applyNumberFormat="1" applyFont="1" applyFill="1" applyBorder="1" applyAlignment="1">
      <alignment horizontal="center" vertical="center"/>
    </xf>
    <xf numFmtId="172" fontId="7" fillId="0" borderId="23" xfId="1" applyNumberFormat="1" applyFont="1" applyFill="1" applyBorder="1" applyAlignment="1">
      <alignment horizontal="center" vertical="center"/>
    </xf>
    <xf numFmtId="0" fontId="7" fillId="0" borderId="8" xfId="8" applyFont="1" applyFill="1" applyBorder="1" applyAlignment="1">
      <alignment horizontal="left" vertical="center" wrapText="1"/>
    </xf>
    <xf numFmtId="0" fontId="7" fillId="0" borderId="10" xfId="8" applyFont="1" applyFill="1" applyBorder="1" applyAlignment="1">
      <alignment horizontal="left" vertical="center" wrapText="1"/>
    </xf>
    <xf numFmtId="0" fontId="4" fillId="0" borderId="8" xfId="8" applyFont="1" applyFill="1" applyBorder="1" applyAlignment="1">
      <alignment horizontal="left" vertical="center" wrapText="1"/>
    </xf>
    <xf numFmtId="0" fontId="4" fillId="0" borderId="10" xfId="8" applyFont="1" applyFill="1" applyBorder="1" applyAlignment="1">
      <alignment horizontal="left" vertical="center" wrapText="1"/>
    </xf>
    <xf numFmtId="172" fontId="4" fillId="0" borderId="27" xfId="1" applyNumberFormat="1" applyFont="1" applyFill="1" applyBorder="1" applyAlignment="1">
      <alignment horizontal="center" vertical="center"/>
    </xf>
    <xf numFmtId="172" fontId="4" fillId="0" borderId="23" xfId="1" applyNumberFormat="1" applyFont="1" applyFill="1" applyBorder="1" applyAlignment="1">
      <alignment horizontal="center" vertical="center"/>
    </xf>
    <xf numFmtId="0" fontId="7" fillId="0" borderId="29" xfId="8" applyFont="1" applyFill="1" applyBorder="1" applyAlignment="1">
      <alignment horizontal="left" vertical="center" wrapText="1"/>
    </xf>
    <xf numFmtId="17" fontId="6" fillId="9" borderId="2" xfId="8" applyNumberFormat="1" applyFont="1" applyFill="1" applyBorder="1" applyAlignment="1">
      <alignment horizontal="center" vertical="center"/>
    </xf>
    <xf numFmtId="17" fontId="6" fillId="9" borderId="18" xfId="8" applyNumberFormat="1" applyFont="1" applyFill="1" applyBorder="1" applyAlignment="1">
      <alignment horizontal="center" vertical="center"/>
    </xf>
    <xf numFmtId="17" fontId="6" fillId="9" borderId="16" xfId="8" applyNumberFormat="1" applyFont="1" applyFill="1" applyBorder="1" applyAlignment="1">
      <alignment horizontal="center" vertical="center"/>
    </xf>
    <xf numFmtId="172" fontId="7" fillId="0" borderId="33" xfId="1" applyNumberFormat="1" applyFont="1" applyFill="1" applyBorder="1" applyAlignment="1">
      <alignment horizontal="center" vertical="center"/>
    </xf>
    <xf numFmtId="172" fontId="7" fillId="0" borderId="31" xfId="1" applyNumberFormat="1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left" vertical="center" wrapText="1"/>
    </xf>
    <xf numFmtId="0" fontId="7" fillId="0" borderId="21" xfId="8" applyFont="1" applyFill="1" applyBorder="1" applyAlignment="1">
      <alignment horizontal="left" vertical="center" wrapText="1"/>
    </xf>
    <xf numFmtId="172" fontId="7" fillId="0" borderId="29" xfId="1" applyNumberFormat="1" applyFont="1" applyFill="1" applyBorder="1" applyAlignment="1">
      <alignment horizontal="center" vertical="center"/>
    </xf>
    <xf numFmtId="172" fontId="7" fillId="0" borderId="25" xfId="1" applyNumberFormat="1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left" vertical="center" wrapText="1"/>
    </xf>
    <xf numFmtId="0" fontId="7" fillId="0" borderId="12" xfId="8" applyFont="1" applyFill="1" applyBorder="1" applyAlignment="1">
      <alignment horizontal="left" vertical="center" wrapText="1"/>
    </xf>
    <xf numFmtId="0" fontId="7" fillId="0" borderId="20" xfId="8" applyFont="1" applyFill="1" applyBorder="1" applyAlignment="1">
      <alignment horizontal="left" vertical="center"/>
    </xf>
    <xf numFmtId="0" fontId="7" fillId="0" borderId="21" xfId="8" applyFont="1" applyFill="1" applyBorder="1" applyAlignment="1">
      <alignment horizontal="left" vertical="center"/>
    </xf>
    <xf numFmtId="0" fontId="4" fillId="0" borderId="8" xfId="8" applyFont="1" applyFill="1" applyBorder="1" applyAlignment="1">
      <alignment horizontal="left" vertical="center"/>
    </xf>
    <xf numFmtId="0" fontId="4" fillId="0" borderId="10" xfId="8" applyFont="1" applyFill="1" applyBorder="1" applyAlignment="1">
      <alignment horizontal="left" vertical="center"/>
    </xf>
    <xf numFmtId="172" fontId="7" fillId="0" borderId="25" xfId="1" applyNumberFormat="1" applyFont="1" applyFill="1" applyBorder="1" applyAlignment="1">
      <alignment horizontal="center"/>
    </xf>
    <xf numFmtId="172" fontId="7" fillId="0" borderId="31" xfId="1" applyNumberFormat="1" applyFont="1" applyFill="1" applyBorder="1" applyAlignment="1">
      <alignment horizontal="center"/>
    </xf>
    <xf numFmtId="172" fontId="7" fillId="0" borderId="10" xfId="1" applyNumberFormat="1" applyFont="1" applyFill="1" applyBorder="1" applyAlignment="1">
      <alignment horizontal="center" vertical="center"/>
    </xf>
    <xf numFmtId="0" fontId="7" fillId="0" borderId="10" xfId="8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7" fontId="4" fillId="3" borderId="5" xfId="8" applyNumberFormat="1" applyFont="1" applyFill="1" applyBorder="1" applyAlignment="1">
      <alignment horizontal="left" vertical="center"/>
    </xf>
    <xf numFmtId="17" fontId="4" fillId="3" borderId="6" xfId="8" applyNumberFormat="1" applyFont="1" applyFill="1" applyBorder="1" applyAlignment="1">
      <alignment horizontal="left" vertical="center"/>
    </xf>
    <xf numFmtId="169" fontId="4" fillId="3" borderId="0" xfId="6" applyNumberFormat="1" applyFont="1" applyFill="1" applyBorder="1" applyAlignment="1">
      <alignment horizontal="center" vertical="center" wrapText="1"/>
    </xf>
    <xf numFmtId="17" fontId="6" fillId="7" borderId="3" xfId="8" applyNumberFormat="1" applyFont="1" applyFill="1" applyBorder="1" applyAlignment="1">
      <alignment horizontal="center" vertical="center" wrapText="1"/>
    </xf>
    <xf numFmtId="17" fontId="6" fillId="7" borderId="0" xfId="8" applyNumberFormat="1" applyFont="1" applyFill="1" applyBorder="1" applyAlignment="1">
      <alignment horizontal="center" vertical="center" wrapText="1"/>
    </xf>
    <xf numFmtId="17" fontId="6" fillId="7" borderId="3" xfId="8" applyNumberFormat="1" applyFont="1" applyFill="1" applyBorder="1" applyAlignment="1">
      <alignment horizontal="center" vertical="center"/>
    </xf>
    <xf numFmtId="17" fontId="6" fillId="7" borderId="0" xfId="8" applyNumberFormat="1" applyFont="1" applyFill="1" applyBorder="1" applyAlignment="1">
      <alignment horizontal="center" vertical="center"/>
    </xf>
    <xf numFmtId="169" fontId="7" fillId="0" borderId="0" xfId="6" applyNumberFormat="1" applyFont="1" applyFill="1" applyBorder="1" applyAlignment="1">
      <alignment vertical="center"/>
    </xf>
    <xf numFmtId="169" fontId="7" fillId="0" borderId="0" xfId="6" applyNumberFormat="1" applyFont="1" applyFill="1" applyBorder="1"/>
    <xf numFmtId="170" fontId="4" fillId="0" borderId="0" xfId="6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23" xfId="8" applyFont="1" applyFill="1" applyBorder="1" applyAlignment="1">
      <alignment horizontal="center" vertical="center"/>
    </xf>
    <xf numFmtId="169" fontId="4" fillId="0" borderId="10" xfId="6" applyNumberFormat="1" applyFont="1" applyFill="1" applyBorder="1" applyAlignment="1">
      <alignment horizontal="center" vertical="center"/>
    </xf>
    <xf numFmtId="169" fontId="4" fillId="0" borderId="0" xfId="6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169" fontId="7" fillId="2" borderId="42" xfId="3" applyNumberFormat="1" applyFont="1" applyBorder="1" applyAlignment="1">
      <alignment horizontal="center" vertical="center"/>
    </xf>
    <xf numFmtId="175" fontId="3" fillId="0" borderId="0" xfId="17" applyNumberFormat="1" applyFont="1"/>
    <xf numFmtId="169" fontId="7" fillId="0" borderId="27" xfId="6" applyNumberFormat="1" applyFont="1" applyFill="1" applyBorder="1" applyAlignment="1">
      <alignment horizontal="center" vertical="center"/>
    </xf>
    <xf numFmtId="169" fontId="7" fillId="0" borderId="28" xfId="6" applyNumberFormat="1" applyFont="1" applyFill="1" applyBorder="1" applyAlignment="1">
      <alignment horizontal="center" vertical="center"/>
    </xf>
    <xf numFmtId="169" fontId="14" fillId="0" borderId="3" xfId="0" applyNumberFormat="1" applyFont="1" applyFill="1" applyBorder="1" applyAlignment="1">
      <alignment horizontal="center" vertical="center"/>
    </xf>
    <xf numFmtId="169" fontId="0" fillId="0" borderId="0" xfId="0" applyNumberFormat="1" applyFont="1"/>
    <xf numFmtId="17" fontId="6" fillId="9" borderId="17" xfId="8" applyNumberFormat="1" applyFont="1" applyFill="1" applyBorder="1" applyAlignment="1">
      <alignment vertical="center"/>
    </xf>
    <xf numFmtId="17" fontId="6" fillId="9" borderId="19" xfId="8" applyNumberFormat="1" applyFont="1" applyFill="1" applyBorder="1" applyAlignment="1">
      <alignment vertical="center"/>
    </xf>
    <xf numFmtId="0" fontId="4" fillId="0" borderId="27" xfId="8" applyFont="1" applyFill="1" applyBorder="1" applyAlignment="1">
      <alignment horizontal="center" vertical="center" wrapText="1"/>
    </xf>
    <xf numFmtId="0" fontId="4" fillId="0" borderId="22" xfId="8" applyFont="1" applyFill="1" applyBorder="1" applyAlignment="1">
      <alignment horizontal="center" vertical="center" wrapText="1"/>
    </xf>
    <xf numFmtId="0" fontId="4" fillId="0" borderId="28" xfId="8" applyFont="1" applyFill="1" applyBorder="1" applyAlignment="1">
      <alignment horizontal="center" vertical="center" wrapText="1"/>
    </xf>
    <xf numFmtId="43" fontId="4" fillId="0" borderId="10" xfId="17" applyFont="1" applyFill="1" applyBorder="1" applyAlignment="1">
      <alignment vertical="center"/>
    </xf>
    <xf numFmtId="171" fontId="0" fillId="3" borderId="0" xfId="2" applyNumberFormat="1" applyFont="1" applyFill="1"/>
  </cellXfs>
  <cellStyles count="18">
    <cellStyle name="Millares" xfId="17" builtinId="3"/>
    <cellStyle name="Millares [0] 2" xfId="5" xr:uid="{00000000-0005-0000-0000-000001000000}"/>
    <cellStyle name="Millares 2" xfId="4" xr:uid="{00000000-0005-0000-0000-000002000000}"/>
    <cellStyle name="Millares 3" xfId="9" xr:uid="{00000000-0005-0000-0000-000003000000}"/>
    <cellStyle name="Millares 4" xfId="11" xr:uid="{00000000-0005-0000-0000-000004000000}"/>
    <cellStyle name="Millares 5" xfId="12" xr:uid="{00000000-0005-0000-0000-000005000000}"/>
    <cellStyle name="Millares 6" xfId="10" xr:uid="{00000000-0005-0000-0000-000006000000}"/>
    <cellStyle name="Millares 7" xfId="14" xr:uid="{00000000-0005-0000-0000-000007000000}"/>
    <cellStyle name="Moneda" xfId="1" builtinId="4"/>
    <cellStyle name="Moneda [0] 2" xfId="13" xr:uid="{00000000-0005-0000-0000-000009000000}"/>
    <cellStyle name="Moneda 2" xfId="6" xr:uid="{00000000-0005-0000-0000-00000A000000}"/>
    <cellStyle name="Moneda 3" xfId="15" xr:uid="{00000000-0005-0000-0000-00000B000000}"/>
    <cellStyle name="Normal" xfId="0" builtinId="0"/>
    <cellStyle name="Normal 2" xfId="7" xr:uid="{00000000-0005-0000-0000-00000D000000}"/>
    <cellStyle name="Normal 3" xfId="16" xr:uid="{A09EF0E3-39CE-4A50-A513-4B4F4FFD0596}"/>
    <cellStyle name="Normal_RETE FUENTE DIC P2" xfId="8" xr:uid="{00000000-0005-0000-0000-00000E000000}"/>
    <cellStyle name="Notas" xfId="3" builtinId="10"/>
    <cellStyle name="Porcentaje" xfId="2" builtinId="5"/>
  </cellStyles>
  <dxfs count="0"/>
  <tableStyles count="0" defaultTableStyle="TableStyleMedium9" defaultPivotStyle="PivotStyleLight16"/>
  <colors>
    <mruColors>
      <color rgb="FFC6605E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428627</xdr:colOff>
      <xdr:row>0</xdr:row>
      <xdr:rowOff>130968</xdr:rowOff>
    </xdr:from>
    <xdr:to>
      <xdr:col>2</xdr:col>
      <xdr:colOff>1357313</xdr:colOff>
      <xdr:row>4</xdr:row>
      <xdr:rowOff>33747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7" y="130968"/>
          <a:ext cx="928686" cy="664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428627</xdr:colOff>
      <xdr:row>0</xdr:row>
      <xdr:rowOff>130968</xdr:rowOff>
    </xdr:from>
    <xdr:to>
      <xdr:col>2</xdr:col>
      <xdr:colOff>1357313</xdr:colOff>
      <xdr:row>4</xdr:row>
      <xdr:rowOff>33747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1A59CEB-51BD-41C6-998D-9D749754B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7" y="130968"/>
          <a:ext cx="928686" cy="664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I73"/>
  <sheetViews>
    <sheetView tabSelected="1" zoomScale="80" zoomScaleNormal="80" workbookViewId="0">
      <selection activeCell="I6" sqref="I6"/>
    </sheetView>
  </sheetViews>
  <sheetFormatPr baseColWidth="10" defaultRowHeight="14.25" x14ac:dyDescent="0.2"/>
  <cols>
    <col min="1" max="2" width="11.42578125" style="1"/>
    <col min="3" max="3" width="28.85546875" style="1" customWidth="1"/>
    <col min="4" max="4" width="27.42578125" style="1" customWidth="1"/>
    <col min="5" max="5" width="20.140625" style="1" customWidth="1"/>
    <col min="6" max="6" width="33" style="1" customWidth="1"/>
    <col min="7" max="7" width="24.42578125" style="49" customWidth="1"/>
    <col min="8" max="8" width="28" style="1" customWidth="1"/>
    <col min="9" max="9" width="17.7109375" style="1" customWidth="1"/>
    <col min="10" max="10" width="30.5703125" style="1" customWidth="1"/>
    <col min="11" max="11" width="19" style="1" customWidth="1"/>
    <col min="12" max="12" width="18.28515625" style="1" customWidth="1"/>
    <col min="13" max="13" width="16.42578125" style="1" customWidth="1"/>
    <col min="14" max="16384" width="11.42578125" style="1"/>
  </cols>
  <sheetData>
    <row r="1" spans="3:9" ht="15" x14ac:dyDescent="0.25">
      <c r="C1" s="38"/>
      <c r="D1" s="90" t="s">
        <v>70</v>
      </c>
      <c r="E1" s="91"/>
      <c r="F1" s="92"/>
      <c r="G1" s="190">
        <v>1160000</v>
      </c>
      <c r="H1" s="190"/>
      <c r="I1" s="190">
        <v>1300000</v>
      </c>
    </row>
    <row r="2" spans="3:9" ht="15" x14ac:dyDescent="0.25">
      <c r="C2" s="39"/>
      <c r="D2" s="32" t="s">
        <v>67</v>
      </c>
      <c r="E2" s="32"/>
      <c r="F2" s="33"/>
      <c r="G2" s="1" t="s">
        <v>78</v>
      </c>
      <c r="I2" s="1" t="s">
        <v>92</v>
      </c>
    </row>
    <row r="3" spans="3:9" ht="15" x14ac:dyDescent="0.25">
      <c r="C3" s="39"/>
      <c r="D3" s="32" t="s">
        <v>68</v>
      </c>
      <c r="E3" s="32"/>
      <c r="F3" s="33"/>
      <c r="G3" s="180"/>
    </row>
    <row r="4" spans="3:9" ht="15" x14ac:dyDescent="0.25">
      <c r="C4" s="40"/>
      <c r="D4" s="34" t="s">
        <v>69</v>
      </c>
      <c r="E4" s="34"/>
      <c r="F4" s="35"/>
      <c r="G4" s="181"/>
    </row>
    <row r="5" spans="3:9" ht="15.75" thickBot="1" x14ac:dyDescent="0.3">
      <c r="C5" s="40"/>
      <c r="D5" s="34"/>
      <c r="E5" s="34"/>
      <c r="F5" s="37"/>
      <c r="G5" s="181"/>
    </row>
    <row r="6" spans="3:9" ht="15" x14ac:dyDescent="0.2">
      <c r="C6" s="43" t="s">
        <v>71</v>
      </c>
      <c r="D6" s="102"/>
      <c r="E6" s="103"/>
      <c r="F6" s="42" t="s">
        <v>74</v>
      </c>
      <c r="G6" s="182"/>
      <c r="H6" s="42" t="s">
        <v>76</v>
      </c>
    </row>
    <row r="7" spans="3:9" ht="15.75" thickBot="1" x14ac:dyDescent="0.25">
      <c r="C7" s="44" t="s">
        <v>72</v>
      </c>
      <c r="D7" s="104"/>
      <c r="E7" s="105"/>
      <c r="F7" s="21">
        <v>42412</v>
      </c>
      <c r="G7" s="183"/>
      <c r="H7" s="21">
        <v>47065</v>
      </c>
    </row>
    <row r="8" spans="3:9" ht="45.75" thickBot="1" x14ac:dyDescent="0.25">
      <c r="C8" s="170"/>
      <c r="D8" s="171"/>
      <c r="E8" s="171"/>
      <c r="F8" s="172" t="s">
        <v>79</v>
      </c>
      <c r="G8" s="184"/>
      <c r="H8" s="172" t="s">
        <v>80</v>
      </c>
    </row>
    <row r="9" spans="3:9" ht="30.75" customHeight="1" thickBot="1" x14ac:dyDescent="0.25">
      <c r="C9" s="173" t="s">
        <v>81</v>
      </c>
      <c r="D9" s="174"/>
      <c r="E9" s="174"/>
      <c r="F9" s="174"/>
      <c r="G9" s="174"/>
      <c r="H9" s="174"/>
    </row>
    <row r="10" spans="3:9" s="49" customFormat="1" x14ac:dyDescent="0.2">
      <c r="C10" s="93" t="s">
        <v>29</v>
      </c>
      <c r="D10" s="94"/>
      <c r="E10" s="95"/>
      <c r="F10" s="48">
        <f>50000000*12</f>
        <v>600000000</v>
      </c>
      <c r="G10" s="48"/>
      <c r="H10" s="48">
        <f>50000000*12</f>
        <v>600000000</v>
      </c>
      <c r="I10" s="49" t="s">
        <v>77</v>
      </c>
    </row>
    <row r="11" spans="3:9" s="49" customFormat="1" ht="60" customHeight="1" x14ac:dyDescent="0.2">
      <c r="C11" s="82" t="s">
        <v>41</v>
      </c>
      <c r="D11" s="83"/>
      <c r="E11" s="84"/>
      <c r="F11" s="50">
        <v>50000000</v>
      </c>
      <c r="G11" s="50"/>
      <c r="H11" s="50">
        <v>50000000</v>
      </c>
    </row>
    <row r="12" spans="3:9" s="49" customFormat="1" ht="15" customHeight="1" x14ac:dyDescent="0.2">
      <c r="C12" s="51" t="s">
        <v>0</v>
      </c>
      <c r="D12" s="51"/>
      <c r="E12" s="51"/>
      <c r="F12" s="52">
        <f>SUM(F10:F11)</f>
        <v>650000000</v>
      </c>
      <c r="G12" s="52"/>
      <c r="H12" s="52">
        <f>SUM(H10:H11)</f>
        <v>650000000</v>
      </c>
    </row>
    <row r="13" spans="3:9" ht="15.75" thickBot="1" x14ac:dyDescent="0.25">
      <c r="C13" s="175" t="s">
        <v>1</v>
      </c>
      <c r="D13" s="176"/>
      <c r="E13" s="176"/>
      <c r="F13" s="176"/>
      <c r="G13" s="176"/>
      <c r="H13" s="176"/>
    </row>
    <row r="14" spans="3:9" s="49" customFormat="1" x14ac:dyDescent="0.2">
      <c r="C14" s="93" t="s">
        <v>30</v>
      </c>
      <c r="D14" s="94"/>
      <c r="E14" s="95"/>
      <c r="F14" s="48">
        <v>0</v>
      </c>
      <c r="G14" s="48"/>
      <c r="H14" s="48">
        <v>0</v>
      </c>
    </row>
    <row r="15" spans="3:9" s="49" customFormat="1" ht="33.75" customHeight="1" x14ac:dyDescent="0.2">
      <c r="C15" s="82" t="s">
        <v>42</v>
      </c>
      <c r="D15" s="83"/>
      <c r="E15" s="84"/>
      <c r="F15" s="48">
        <v>0</v>
      </c>
      <c r="G15" s="48"/>
      <c r="H15" s="48">
        <v>0</v>
      </c>
    </row>
    <row r="16" spans="3:9" s="49" customFormat="1" ht="89.25" customHeight="1" x14ac:dyDescent="0.2">
      <c r="C16" s="82" t="s">
        <v>52</v>
      </c>
      <c r="D16" s="83"/>
      <c r="E16" s="84"/>
      <c r="F16" s="48">
        <v>0</v>
      </c>
      <c r="G16" s="48"/>
      <c r="H16" s="48">
        <v>0</v>
      </c>
    </row>
    <row r="17" spans="3:9" s="49" customFormat="1" ht="28.5" customHeight="1" x14ac:dyDescent="0.2">
      <c r="C17" s="82" t="s">
        <v>82</v>
      </c>
      <c r="D17" s="83"/>
      <c r="E17" s="84"/>
      <c r="F17" s="50">
        <f>+F10*4%</f>
        <v>24000000</v>
      </c>
      <c r="G17" s="50"/>
      <c r="H17" s="50">
        <f>+H10*4%</f>
        <v>24000000</v>
      </c>
    </row>
    <row r="18" spans="3:9" s="49" customFormat="1" ht="28.5" customHeight="1" x14ac:dyDescent="0.2">
      <c r="C18" s="82" t="s">
        <v>83</v>
      </c>
      <c r="D18" s="83"/>
      <c r="E18" s="84"/>
      <c r="F18" s="50">
        <f>+F10*4%</f>
        <v>24000000</v>
      </c>
      <c r="G18" s="50"/>
      <c r="H18" s="50">
        <f>+H10*4%</f>
        <v>24000000</v>
      </c>
    </row>
    <row r="19" spans="3:9" s="49" customFormat="1" x14ac:dyDescent="0.2">
      <c r="C19" s="82" t="s">
        <v>84</v>
      </c>
      <c r="D19" s="83"/>
      <c r="E19" s="84"/>
      <c r="F19" s="50">
        <f>+F10*1%</f>
        <v>6000000</v>
      </c>
      <c r="G19" s="50"/>
      <c r="H19" s="50">
        <f>+H10*1%</f>
        <v>6000000</v>
      </c>
    </row>
    <row r="20" spans="3:9" s="49" customFormat="1" ht="15" x14ac:dyDescent="0.2">
      <c r="C20" s="53" t="s">
        <v>2</v>
      </c>
      <c r="D20" s="53"/>
      <c r="E20" s="53"/>
      <c r="F20" s="54">
        <f>+F12-SUM(F14:F19)</f>
        <v>596000000</v>
      </c>
      <c r="G20" s="54"/>
      <c r="H20" s="54">
        <f>+H12-SUM(H14:H19)</f>
        <v>596000000</v>
      </c>
    </row>
    <row r="21" spans="3:9" s="49" customFormat="1" ht="15" x14ac:dyDescent="0.2">
      <c r="C21" s="55"/>
      <c r="D21" s="55"/>
      <c r="E21" s="55"/>
      <c r="F21" s="56"/>
      <c r="G21" s="56"/>
      <c r="H21" s="56"/>
    </row>
    <row r="22" spans="3:9" ht="15.75" thickBot="1" x14ac:dyDescent="0.25">
      <c r="C22" s="175" t="s">
        <v>85</v>
      </c>
      <c r="D22" s="176"/>
      <c r="E22" s="176"/>
      <c r="F22" s="176"/>
      <c r="G22" s="176"/>
      <c r="H22" s="176"/>
      <c r="I22" s="176"/>
    </row>
    <row r="23" spans="3:9" s="49" customFormat="1" ht="44.25" customHeight="1" x14ac:dyDescent="0.35">
      <c r="C23" s="96" t="s">
        <v>86</v>
      </c>
      <c r="D23" s="97"/>
      <c r="E23" s="98"/>
      <c r="F23" s="48">
        <v>0</v>
      </c>
      <c r="G23" s="57">
        <f>(100*12)*$F$7</f>
        <v>50894400</v>
      </c>
      <c r="H23" s="48">
        <v>0</v>
      </c>
      <c r="I23" s="57">
        <f>(100*12)*$H$7</f>
        <v>56478000</v>
      </c>
    </row>
    <row r="24" spans="3:9" s="49" customFormat="1" ht="45" customHeight="1" x14ac:dyDescent="0.35">
      <c r="C24" s="99" t="s">
        <v>87</v>
      </c>
      <c r="D24" s="100"/>
      <c r="E24" s="101"/>
      <c r="F24" s="50">
        <f>+G24</f>
        <v>16286208</v>
      </c>
      <c r="G24" s="57">
        <f>+MIN((32*12)*$F$7,F12*10%)</f>
        <v>16286208</v>
      </c>
      <c r="H24" s="50">
        <f>+I24</f>
        <v>18072960</v>
      </c>
      <c r="I24" s="57">
        <f>+MIN((32*12)*$H$7,H10*10%)</f>
        <v>18072960</v>
      </c>
    </row>
    <row r="25" spans="3:9" s="49" customFormat="1" ht="30" customHeight="1" x14ac:dyDescent="0.35">
      <c r="C25" s="99" t="s">
        <v>88</v>
      </c>
      <c r="D25" s="100"/>
      <c r="E25" s="101"/>
      <c r="F25" s="50">
        <v>9000000</v>
      </c>
      <c r="G25" s="57">
        <f>(16*12)*$F$7</f>
        <v>8143104</v>
      </c>
      <c r="H25" s="50">
        <v>9000000</v>
      </c>
      <c r="I25" s="57">
        <f>(16*12)*$H$7</f>
        <v>9036480</v>
      </c>
    </row>
    <row r="26" spans="3:9" s="49" customFormat="1" ht="15" x14ac:dyDescent="0.2">
      <c r="C26" s="53" t="s">
        <v>3</v>
      </c>
      <c r="D26" s="53"/>
      <c r="E26" s="53"/>
      <c r="F26" s="54">
        <f>+MIN(F23,G23)+MIN(F24,G24)+MIN(F25,G25)</f>
        <v>24429312</v>
      </c>
      <c r="H26" s="54">
        <f>SUM(H23:H25)</f>
        <v>27072960</v>
      </c>
    </row>
    <row r="27" spans="3:9" s="49" customFormat="1" ht="15" x14ac:dyDescent="0.2">
      <c r="C27" s="53" t="s">
        <v>6</v>
      </c>
      <c r="D27" s="53"/>
      <c r="E27" s="53"/>
      <c r="F27" s="54">
        <f>+F20-F26</f>
        <v>571570688</v>
      </c>
      <c r="G27" s="56"/>
      <c r="H27" s="54">
        <f>+H20-H26</f>
        <v>568927040</v>
      </c>
    </row>
    <row r="28" spans="3:9" x14ac:dyDescent="0.2">
      <c r="C28" s="2"/>
      <c r="D28" s="10"/>
      <c r="E28" s="10"/>
      <c r="F28" s="3"/>
      <c r="G28" s="178"/>
    </row>
    <row r="29" spans="3:9" ht="15.75" thickBot="1" x14ac:dyDescent="0.25">
      <c r="C29" s="175" t="s">
        <v>25</v>
      </c>
      <c r="D29" s="176"/>
      <c r="E29" s="176"/>
      <c r="F29" s="176"/>
      <c r="G29" s="176"/>
      <c r="H29" s="176"/>
      <c r="I29" s="176"/>
    </row>
    <row r="30" spans="3:9" ht="14.25" customHeight="1" x14ac:dyDescent="0.2">
      <c r="C30" s="109" t="s">
        <v>31</v>
      </c>
      <c r="D30" s="110"/>
      <c r="E30" s="111"/>
      <c r="F30" s="8">
        <v>150000000</v>
      </c>
      <c r="G30" s="189">
        <f>+MIN(3800*F7,F12*30%)</f>
        <v>161165600</v>
      </c>
      <c r="H30" s="8">
        <v>150000000</v>
      </c>
      <c r="I30" s="189">
        <f>+MIN(3800*H7,H12*30%)</f>
        <v>178847000</v>
      </c>
    </row>
    <row r="31" spans="3:9" x14ac:dyDescent="0.2">
      <c r="C31" s="85" t="s">
        <v>36</v>
      </c>
      <c r="D31" s="86"/>
      <c r="E31" s="87"/>
      <c r="F31" s="7">
        <v>15000000</v>
      </c>
      <c r="G31" s="189"/>
      <c r="H31" s="7">
        <v>15000000</v>
      </c>
      <c r="I31" s="189"/>
    </row>
    <row r="32" spans="3:9" s="49" customFormat="1" x14ac:dyDescent="0.2">
      <c r="C32" s="76" t="s">
        <v>32</v>
      </c>
      <c r="D32" s="77"/>
      <c r="E32" s="78"/>
      <c r="F32" s="50">
        <v>0</v>
      </c>
      <c r="G32" s="177"/>
      <c r="H32" s="50">
        <v>0</v>
      </c>
      <c r="I32" s="177"/>
    </row>
    <row r="33" spans="3:9" s="49" customFormat="1" x14ac:dyDescent="0.2">
      <c r="C33" s="76" t="s">
        <v>33</v>
      </c>
      <c r="D33" s="77"/>
      <c r="E33" s="78"/>
      <c r="F33" s="50">
        <v>0</v>
      </c>
      <c r="G33" s="177"/>
      <c r="H33" s="50">
        <v>0</v>
      </c>
      <c r="I33" s="177"/>
    </row>
    <row r="34" spans="3:9" s="49" customFormat="1" x14ac:dyDescent="0.2">
      <c r="C34" s="76" t="s">
        <v>34</v>
      </c>
      <c r="D34" s="77"/>
      <c r="E34" s="78"/>
      <c r="F34" s="50">
        <v>0</v>
      </c>
      <c r="G34" s="177"/>
      <c r="H34" s="50">
        <v>0</v>
      </c>
      <c r="I34" s="177"/>
    </row>
    <row r="35" spans="3:9" s="49" customFormat="1" x14ac:dyDescent="0.2">
      <c r="C35" s="76" t="s">
        <v>35</v>
      </c>
      <c r="D35" s="77"/>
      <c r="E35" s="78"/>
      <c r="F35" s="50">
        <v>0</v>
      </c>
      <c r="G35" s="177"/>
      <c r="H35" s="50">
        <v>0</v>
      </c>
      <c r="I35" s="177"/>
    </row>
    <row r="36" spans="3:9" s="49" customFormat="1" ht="15" x14ac:dyDescent="0.2">
      <c r="C36" s="53" t="s">
        <v>5</v>
      </c>
      <c r="D36" s="53"/>
      <c r="E36" s="53"/>
      <c r="F36" s="54">
        <f>SUM(F32:F35)+MIN(F30+F31,G30)</f>
        <v>161165600</v>
      </c>
      <c r="G36" s="56"/>
      <c r="H36" s="54">
        <f>SUM(H32:H35)+MIN(H30+H31,I30)</f>
        <v>165000000</v>
      </c>
      <c r="I36" s="56"/>
    </row>
    <row r="37" spans="3:9" s="49" customFormat="1" ht="15" x14ac:dyDescent="0.2">
      <c r="C37" s="53" t="s">
        <v>6</v>
      </c>
      <c r="D37" s="53"/>
      <c r="E37" s="53"/>
      <c r="F37" s="54">
        <f>+F27-F36</f>
        <v>410405088</v>
      </c>
      <c r="G37" s="56"/>
      <c r="H37" s="54">
        <f>+H27-H36</f>
        <v>403927040</v>
      </c>
      <c r="I37" s="56"/>
    </row>
    <row r="38" spans="3:9" s="49" customFormat="1" ht="15" x14ac:dyDescent="0.2">
      <c r="C38" s="55"/>
      <c r="D38" s="55"/>
      <c r="E38" s="55"/>
      <c r="F38" s="56" t="s">
        <v>37</v>
      </c>
      <c r="G38" s="56"/>
      <c r="H38" s="56" t="s">
        <v>37</v>
      </c>
      <c r="I38" s="56"/>
    </row>
    <row r="39" spans="3:9" s="49" customFormat="1" ht="16.5" x14ac:dyDescent="0.35">
      <c r="C39" s="79" t="s">
        <v>89</v>
      </c>
      <c r="D39" s="80"/>
      <c r="E39" s="81"/>
      <c r="F39" s="58">
        <f>+G39</f>
        <v>33505480</v>
      </c>
      <c r="G39" s="57">
        <f>+MIN(790*F$7,F37*25%)</f>
        <v>33505480</v>
      </c>
      <c r="H39" s="58">
        <f>+I39</f>
        <v>37181350</v>
      </c>
      <c r="I39" s="57">
        <f>+MIN(790*H$7,H37*25%)</f>
        <v>37181350</v>
      </c>
    </row>
    <row r="40" spans="3:9" s="49" customFormat="1" ht="15" x14ac:dyDescent="0.2">
      <c r="C40" s="53" t="s">
        <v>4</v>
      </c>
      <c r="D40" s="53"/>
      <c r="E40" s="53"/>
      <c r="F40" s="54">
        <f>+F37-(MIN(F39,G39))</f>
        <v>376899608</v>
      </c>
      <c r="G40" s="56"/>
      <c r="H40" s="54">
        <f>+H37-(MIN(H39,I39))</f>
        <v>366745690</v>
      </c>
      <c r="I40" s="56"/>
    </row>
    <row r="41" spans="3:9" s="49" customFormat="1" ht="16.5" x14ac:dyDescent="0.35">
      <c r="C41" s="68"/>
      <c r="D41" s="186"/>
      <c r="E41" s="186"/>
      <c r="F41" s="178"/>
      <c r="G41" s="57"/>
      <c r="H41" s="178"/>
      <c r="I41" s="57"/>
    </row>
    <row r="42" spans="3:9" s="49" customFormat="1" ht="34.5" customHeight="1" x14ac:dyDescent="0.35">
      <c r="C42" s="187" t="s">
        <v>91</v>
      </c>
      <c r="D42" s="188"/>
      <c r="E42" s="188"/>
      <c r="F42" s="56">
        <f>+G42</f>
        <v>56832080</v>
      </c>
      <c r="G42" s="57">
        <f>+MIN(F12*40%,1340*F7)</f>
        <v>56832080</v>
      </c>
      <c r="H42" s="56">
        <f>+I42</f>
        <v>63067100</v>
      </c>
      <c r="I42" s="57">
        <f>+MIN(H12*40%,1340*H7)</f>
        <v>63067100</v>
      </c>
    </row>
    <row r="43" spans="3:9" s="49" customFormat="1" ht="15" x14ac:dyDescent="0.2">
      <c r="C43" s="53" t="s">
        <v>7</v>
      </c>
      <c r="D43" s="53"/>
      <c r="E43" s="53"/>
      <c r="F43" s="54">
        <f>+F20-F42</f>
        <v>539167920</v>
      </c>
      <c r="G43" s="56"/>
      <c r="H43" s="54">
        <f>+H20-H42</f>
        <v>532932900</v>
      </c>
      <c r="I43" s="56"/>
    </row>
    <row r="44" spans="3:9" s="49" customFormat="1" ht="15" x14ac:dyDescent="0.2">
      <c r="C44" s="55"/>
      <c r="D44" s="55"/>
      <c r="E44" s="55"/>
      <c r="F44" s="56"/>
      <c r="G44" s="56"/>
      <c r="H44" s="56"/>
      <c r="I44" s="56"/>
    </row>
    <row r="45" spans="3:9" s="49" customFormat="1" ht="15" x14ac:dyDescent="0.2">
      <c r="C45" s="55"/>
      <c r="D45" s="55"/>
      <c r="E45" s="55"/>
      <c r="F45" s="56"/>
      <c r="G45" s="56"/>
      <c r="H45" s="56"/>
      <c r="I45" s="56"/>
    </row>
    <row r="46" spans="3:9" s="49" customFormat="1" ht="42.75" customHeight="1" x14ac:dyDescent="0.2">
      <c r="C46" s="82" t="s">
        <v>90</v>
      </c>
      <c r="D46" s="83"/>
      <c r="E46" s="84"/>
      <c r="F46" s="58">
        <f>+F43/13</f>
        <v>41474455.384615384</v>
      </c>
      <c r="G46" s="178"/>
      <c r="H46" s="58">
        <f>+H43/13</f>
        <v>40994838.461538464</v>
      </c>
    </row>
    <row r="47" spans="3:9" s="49" customFormat="1" ht="15" x14ac:dyDescent="0.2">
      <c r="C47" s="53" t="s">
        <v>7</v>
      </c>
      <c r="D47" s="53"/>
      <c r="E47" s="53"/>
      <c r="F47" s="54">
        <f>+F46</f>
        <v>41474455.384615384</v>
      </c>
      <c r="G47" s="56"/>
      <c r="H47" s="54">
        <f>+H46</f>
        <v>40994838.461538464</v>
      </c>
    </row>
    <row r="48" spans="3:9" s="49" customFormat="1" ht="15" x14ac:dyDescent="0.2">
      <c r="C48" s="55"/>
      <c r="D48" s="55"/>
      <c r="E48" s="55"/>
      <c r="F48" s="56"/>
      <c r="G48" s="56"/>
      <c r="H48" s="56"/>
    </row>
    <row r="49" spans="1:9" s="49" customFormat="1" ht="15" x14ac:dyDescent="0.2">
      <c r="C49" s="53" t="s">
        <v>8</v>
      </c>
      <c r="D49" s="53"/>
      <c r="E49" s="53"/>
      <c r="F49" s="54">
        <f>+F47</f>
        <v>41474455.384615384</v>
      </c>
      <c r="G49" s="56"/>
      <c r="H49" s="54">
        <f>+H47</f>
        <v>40994838.461538464</v>
      </c>
    </row>
    <row r="50" spans="1:9" s="49" customFormat="1" ht="15" x14ac:dyDescent="0.2">
      <c r="C50" s="55"/>
      <c r="D50" s="55"/>
      <c r="E50" s="55"/>
      <c r="F50" s="56" t="s">
        <v>38</v>
      </c>
      <c r="G50" s="56"/>
      <c r="H50" s="56" t="s">
        <v>38</v>
      </c>
    </row>
    <row r="51" spans="1:9" s="49" customFormat="1" ht="30" customHeight="1" x14ac:dyDescent="0.2">
      <c r="C51" s="197" t="s">
        <v>9</v>
      </c>
      <c r="D51" s="198"/>
      <c r="E51" s="199"/>
      <c r="F51" s="200">
        <f>+F49/F7</f>
        <v>977.89435500837931</v>
      </c>
      <c r="G51" s="179"/>
      <c r="H51" s="59">
        <f>+H49/H7</f>
        <v>871.02599514582948</v>
      </c>
    </row>
    <row r="52" spans="1:9" ht="15" x14ac:dyDescent="0.2">
      <c r="C52" s="5"/>
      <c r="D52" s="5"/>
      <c r="E52" s="5"/>
      <c r="F52" s="6"/>
      <c r="G52" s="179"/>
      <c r="H52" s="6"/>
    </row>
    <row r="53" spans="1:9" ht="33" customHeight="1" x14ac:dyDescent="0.2">
      <c r="C53" s="106" t="s">
        <v>75</v>
      </c>
      <c r="D53" s="107"/>
      <c r="E53" s="108"/>
      <c r="F53" s="45">
        <f>+IF(F58&gt;0,((F58/F7)/F51),IF(F59&gt;0,((F59/F7)/F51),IF(F60&gt;0,((F60/F7)/F51),IF(F61&gt;0,((F61/F7)/F51),IF(F62&gt;0,((F62/F7)/F51),IF(F63&gt;0,((F63/F7)/F51),0))))))</f>
        <v>0.28651370801141141</v>
      </c>
      <c r="G53" s="185"/>
      <c r="H53" s="45">
        <f>+IF(H58&gt;0,((H58/H7)/H51),IF(H59&gt;0,((H59/H7)/H51),IF(H60&gt;0,((H60/H7)/H51),IF(H61&gt;0,((H61/H7)/H51),IF(H62&gt;0,((H62/H7)/H51),IF(H63&gt;0,((H63/H7)/H51),0))))))</f>
        <v>0.27881558822883706</v>
      </c>
      <c r="I53" s="24"/>
    </row>
    <row r="54" spans="1:9" ht="15" thickBot="1" x14ac:dyDescent="0.25">
      <c r="F54" s="49"/>
      <c r="G54" s="1"/>
    </row>
    <row r="55" spans="1:9" s="25" customFormat="1" ht="22.5" customHeight="1" x14ac:dyDescent="0.25">
      <c r="A55" s="88" t="s">
        <v>10</v>
      </c>
      <c r="B55" s="89"/>
      <c r="C55" s="72" t="s">
        <v>11</v>
      </c>
      <c r="D55" s="72" t="s">
        <v>56</v>
      </c>
      <c r="E55" s="72"/>
      <c r="F55" s="74" t="s">
        <v>57</v>
      </c>
      <c r="H55" s="74" t="s">
        <v>57</v>
      </c>
    </row>
    <row r="56" spans="1:9" s="25" customFormat="1" ht="22.5" customHeight="1" thickBot="1" x14ac:dyDescent="0.3">
      <c r="A56" s="46" t="s">
        <v>58</v>
      </c>
      <c r="B56" s="47" t="s">
        <v>12</v>
      </c>
      <c r="C56" s="73"/>
      <c r="D56" s="73"/>
      <c r="E56" s="73"/>
      <c r="F56" s="75"/>
      <c r="H56" s="75"/>
    </row>
    <row r="57" spans="1:9" s="25" customFormat="1" ht="15.75" customHeight="1" x14ac:dyDescent="0.25">
      <c r="A57" s="26">
        <v>0</v>
      </c>
      <c r="B57" s="26">
        <v>95</v>
      </c>
      <c r="C57" s="27">
        <v>0</v>
      </c>
      <c r="D57" s="71" t="s">
        <v>59</v>
      </c>
      <c r="E57" s="71"/>
      <c r="F57" s="28">
        <v>0</v>
      </c>
      <c r="H57" s="28">
        <v>0</v>
      </c>
    </row>
    <row r="58" spans="1:9" s="25" customFormat="1" ht="45" customHeight="1" x14ac:dyDescent="0.25">
      <c r="A58" s="69" t="s">
        <v>13</v>
      </c>
      <c r="B58" s="69">
        <v>150</v>
      </c>
      <c r="C58" s="29">
        <v>0.19</v>
      </c>
      <c r="D58" s="70" t="s">
        <v>14</v>
      </c>
      <c r="E58" s="70"/>
      <c r="F58" s="30">
        <f>IF(F$51&gt;95,(IF(F$51&lt;=150,ROUND((((F$51-95)*19%)*F$7),-3),0)),0)</f>
        <v>0</v>
      </c>
      <c r="H58" s="30">
        <f>IF(H$51&gt;95,(IF(H$51&lt;=150,ROUND((((H$51-95)*19%)*H$7),-3),0)),0)</f>
        <v>0</v>
      </c>
    </row>
    <row r="59" spans="1:9" s="25" customFormat="1" ht="45" customHeight="1" x14ac:dyDescent="0.25">
      <c r="A59" s="69" t="s">
        <v>15</v>
      </c>
      <c r="B59" s="69">
        <v>360</v>
      </c>
      <c r="C59" s="29">
        <v>0.28000000000000003</v>
      </c>
      <c r="D59" s="70" t="s">
        <v>16</v>
      </c>
      <c r="E59" s="70"/>
      <c r="F59" s="30">
        <f>IF(F$51&gt;150,(IF(F$51&lt;=360,ROUND((((F$51-150)*28%)+10)*F$7,-3),0)),0)</f>
        <v>0</v>
      </c>
      <c r="H59" s="30">
        <f>IF(H$51&gt;150,(IF(H$51&lt;=360,ROUND((((H$51-150)*28%)+10)*H$7,-3),0)),0)</f>
        <v>0</v>
      </c>
    </row>
    <row r="60" spans="1:9" s="25" customFormat="1" ht="45" customHeight="1" x14ac:dyDescent="0.25">
      <c r="A60" s="69" t="s">
        <v>17</v>
      </c>
      <c r="B60" s="69">
        <v>640</v>
      </c>
      <c r="C60" s="29">
        <v>0.33</v>
      </c>
      <c r="D60" s="70" t="s">
        <v>18</v>
      </c>
      <c r="E60" s="70"/>
      <c r="F60" s="30">
        <f>IF(F$51&gt;360,(IF(F$51&lt;=640,ROUND((((F$51-360)*33%)+69)*F$7,-3),0)),0)</f>
        <v>0</v>
      </c>
      <c r="H60" s="30">
        <f>IF(H$51&gt;360,(IF(H$51&lt;=640,ROUND((((H$51-360)*33%)+69)*H$7,-3),0)),0)</f>
        <v>0</v>
      </c>
    </row>
    <row r="61" spans="1:9" s="25" customFormat="1" ht="45" customHeight="1" x14ac:dyDescent="0.25">
      <c r="A61" s="69" t="s">
        <v>60</v>
      </c>
      <c r="B61" s="69">
        <v>945</v>
      </c>
      <c r="C61" s="29">
        <v>0.35</v>
      </c>
      <c r="D61" s="70" t="s">
        <v>61</v>
      </c>
      <c r="E61" s="70"/>
      <c r="F61" s="30">
        <f>IF(F$51&gt;640,(IF(F$51&lt;=945,ROUND((((F$51-640)*35%)+162)*F$7,-3),0)),0)</f>
        <v>0</v>
      </c>
      <c r="H61" s="30">
        <f>IF(H$51&gt;640,(IF(H$51&lt;=945,ROUND((((H$51-640)*35%)+162)*H$7,-3),0)),0)</f>
        <v>11430000</v>
      </c>
    </row>
    <row r="62" spans="1:9" s="25" customFormat="1" ht="45" customHeight="1" x14ac:dyDescent="0.25">
      <c r="A62" s="69" t="s">
        <v>62</v>
      </c>
      <c r="B62" s="69">
        <v>2300</v>
      </c>
      <c r="C62" s="29">
        <v>0.37</v>
      </c>
      <c r="D62" s="70" t="s">
        <v>63</v>
      </c>
      <c r="E62" s="70"/>
      <c r="F62" s="30">
        <f>IF(F$51&gt;945,(IF(F$51&lt;=2300,ROUND((((F$51-945)*37%)+268)*F$7,-3),0)),0)</f>
        <v>11883000</v>
      </c>
      <c r="G62" s="201"/>
      <c r="H62" s="30">
        <f>IF(H$51&gt;945,(IF(H$51&lt;=2300,ROUND((((H$51-945)*37%)+268)*H$7,-3),0)),0)</f>
        <v>0</v>
      </c>
    </row>
    <row r="63" spans="1:9" s="25" customFormat="1" ht="45" customHeight="1" x14ac:dyDescent="0.25">
      <c r="A63" s="69" t="s">
        <v>64</v>
      </c>
      <c r="B63" s="69" t="s">
        <v>65</v>
      </c>
      <c r="C63" s="29">
        <v>0.39</v>
      </c>
      <c r="D63" s="70" t="s">
        <v>66</v>
      </c>
      <c r="E63" s="70"/>
      <c r="F63" s="30">
        <f>IF(F$51&gt;2300,ROUND((((F$51-2300)*39%)*$F$7)+(770*F$7),-3),0)</f>
        <v>0</v>
      </c>
      <c r="H63" s="30">
        <f>IF(H$51&gt;2300,ROUND((((H$51-2300)*39%)*$F$7)+(770*H$7),-3),0)</f>
        <v>0</v>
      </c>
    </row>
    <row r="64" spans="1:9" x14ac:dyDescent="0.2">
      <c r="E64" s="49"/>
      <c r="G64" s="1"/>
    </row>
    <row r="65" spans="5:7" x14ac:dyDescent="0.2">
      <c r="E65" s="49"/>
      <c r="G65" s="1"/>
    </row>
    <row r="66" spans="5:7" x14ac:dyDescent="0.2">
      <c r="E66" s="49"/>
      <c r="G66" s="1"/>
    </row>
    <row r="67" spans="5:7" x14ac:dyDescent="0.2">
      <c r="E67" s="49"/>
      <c r="G67" s="1"/>
    </row>
    <row r="68" spans="5:7" x14ac:dyDescent="0.2">
      <c r="E68" s="49"/>
      <c r="G68" s="1"/>
    </row>
    <row r="69" spans="5:7" x14ac:dyDescent="0.2">
      <c r="F69" s="49"/>
      <c r="G69" s="1"/>
    </row>
    <row r="70" spans="5:7" x14ac:dyDescent="0.2">
      <c r="F70" s="49"/>
      <c r="G70" s="1"/>
    </row>
    <row r="71" spans="5:7" x14ac:dyDescent="0.2">
      <c r="F71" s="49"/>
      <c r="G71" s="1"/>
    </row>
    <row r="72" spans="5:7" x14ac:dyDescent="0.2">
      <c r="F72" s="49"/>
      <c r="G72" s="1"/>
    </row>
    <row r="73" spans="5:7" x14ac:dyDescent="0.2">
      <c r="F73" s="49"/>
      <c r="G73" s="1"/>
    </row>
  </sheetData>
  <mergeCells count="43">
    <mergeCell ref="A55:B55"/>
    <mergeCell ref="H55:H56"/>
    <mergeCell ref="G30:G31"/>
    <mergeCell ref="I30:I31"/>
    <mergeCell ref="C51:E51"/>
    <mergeCell ref="C10:E10"/>
    <mergeCell ref="C11:E11"/>
    <mergeCell ref="C19:E19"/>
    <mergeCell ref="C17:E17"/>
    <mergeCell ref="C16:E16"/>
    <mergeCell ref="C25:E25"/>
    <mergeCell ref="C13:H13"/>
    <mergeCell ref="C18:E18"/>
    <mergeCell ref="C22:I22"/>
    <mergeCell ref="C29:I29"/>
    <mergeCell ref="D1:F1"/>
    <mergeCell ref="C15:E15"/>
    <mergeCell ref="C14:E14"/>
    <mergeCell ref="C23:E23"/>
    <mergeCell ref="C24:E24"/>
    <mergeCell ref="D6:E6"/>
    <mergeCell ref="D7:E7"/>
    <mergeCell ref="C9:H9"/>
    <mergeCell ref="C55:C56"/>
    <mergeCell ref="D55:E56"/>
    <mergeCell ref="F55:F56"/>
    <mergeCell ref="C35:E35"/>
    <mergeCell ref="C39:E39"/>
    <mergeCell ref="C46:E46"/>
    <mergeCell ref="C31:E31"/>
    <mergeCell ref="C32:E32"/>
    <mergeCell ref="C33:E33"/>
    <mergeCell ref="C34:E34"/>
    <mergeCell ref="C53:E53"/>
    <mergeCell ref="C30:E30"/>
    <mergeCell ref="C42:E42"/>
    <mergeCell ref="D62:E62"/>
    <mergeCell ref="D63:E63"/>
    <mergeCell ref="D57:E57"/>
    <mergeCell ref="D58:E58"/>
    <mergeCell ref="D59:E59"/>
    <mergeCell ref="D60:E60"/>
    <mergeCell ref="D61:E6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6605E"/>
  </sheetPr>
  <dimension ref="C1:H50"/>
  <sheetViews>
    <sheetView zoomScale="80" zoomScaleNormal="80" workbookViewId="0">
      <selection activeCell="E16" sqref="E16:F16"/>
    </sheetView>
  </sheetViews>
  <sheetFormatPr baseColWidth="10" defaultRowHeight="15" x14ac:dyDescent="0.25"/>
  <cols>
    <col min="1" max="2" width="11.42578125" style="4"/>
    <col min="3" max="3" width="27.140625" style="4" customWidth="1"/>
    <col min="4" max="4" width="38.28515625" style="4" customWidth="1"/>
    <col min="5" max="6" width="21.140625" style="4" customWidth="1"/>
    <col min="7" max="7" width="16.28515625" style="4" customWidth="1"/>
    <col min="8" max="8" width="11.5703125" style="4" bestFit="1" customWidth="1"/>
    <col min="9" max="16384" width="11.42578125" style="4"/>
  </cols>
  <sheetData>
    <row r="1" spans="3:8" x14ac:dyDescent="0.25">
      <c r="C1" s="38"/>
      <c r="D1" s="90" t="s">
        <v>73</v>
      </c>
      <c r="E1" s="91"/>
      <c r="F1" s="92"/>
      <c r="G1" s="4" t="s">
        <v>92</v>
      </c>
      <c r="H1" s="4">
        <v>1300000</v>
      </c>
    </row>
    <row r="2" spans="3:8" x14ac:dyDescent="0.25">
      <c r="C2" s="39"/>
      <c r="D2" s="32" t="s">
        <v>67</v>
      </c>
      <c r="E2" s="32"/>
      <c r="F2" s="33"/>
    </row>
    <row r="3" spans="3:8" x14ac:dyDescent="0.25">
      <c r="C3" s="39"/>
      <c r="D3" s="32" t="s">
        <v>68</v>
      </c>
      <c r="E3" s="32"/>
      <c r="F3" s="33"/>
    </row>
    <row r="4" spans="3:8" x14ac:dyDescent="0.25">
      <c r="C4" s="40"/>
      <c r="D4" s="34" t="s">
        <v>69</v>
      </c>
      <c r="E4" s="34"/>
      <c r="F4" s="35"/>
    </row>
    <row r="5" spans="3:8" ht="15.75" thickBot="1" x14ac:dyDescent="0.3">
      <c r="C5" s="41"/>
      <c r="D5" s="36"/>
      <c r="E5" s="36"/>
      <c r="F5" s="37"/>
    </row>
    <row r="6" spans="3:8" ht="15.75" thickBot="1" x14ac:dyDescent="0.3">
      <c r="C6" s="19"/>
      <c r="D6" s="18"/>
      <c r="E6" s="18"/>
      <c r="F6" s="20"/>
    </row>
    <row r="7" spans="3:8" ht="15.75" thickBot="1" x14ac:dyDescent="0.3">
      <c r="C7" s="195" t="s">
        <v>28</v>
      </c>
      <c r="D7" s="196"/>
      <c r="E7" s="196"/>
      <c r="F7" s="21">
        <f>+'Porcentaje fijo %'!H7</f>
        <v>47065</v>
      </c>
    </row>
    <row r="8" spans="3:8" x14ac:dyDescent="0.25">
      <c r="C8" s="43" t="s">
        <v>71</v>
      </c>
      <c r="D8" s="102"/>
      <c r="E8" s="103"/>
      <c r="F8" s="31" t="s">
        <v>76</v>
      </c>
    </row>
    <row r="9" spans="3:8" ht="15.75" thickBot="1" x14ac:dyDescent="0.3">
      <c r="C9" s="44" t="s">
        <v>72</v>
      </c>
      <c r="D9" s="104"/>
      <c r="E9" s="105"/>
    </row>
    <row r="10" spans="3:8" ht="15.75" thickBot="1" x14ac:dyDescent="0.3">
      <c r="C10" s="130" t="s">
        <v>19</v>
      </c>
      <c r="D10" s="131"/>
      <c r="E10" s="131"/>
      <c r="F10" s="132"/>
    </row>
    <row r="11" spans="3:8" s="60" customFormat="1" x14ac:dyDescent="0.25">
      <c r="C11" s="147" t="s">
        <v>20</v>
      </c>
      <c r="D11" s="148"/>
      <c r="E11" s="145">
        <v>50000000</v>
      </c>
      <c r="F11" s="146"/>
    </row>
    <row r="12" spans="3:8" s="60" customFormat="1" ht="58.5" customHeight="1" x14ac:dyDescent="0.25">
      <c r="C12" s="141" t="s">
        <v>53</v>
      </c>
      <c r="D12" s="83"/>
      <c r="E12" s="149">
        <v>0</v>
      </c>
      <c r="F12" s="134"/>
    </row>
    <row r="13" spans="3:8" s="60" customFormat="1" ht="15" customHeight="1" thickBot="1" x14ac:dyDescent="0.3">
      <c r="C13" s="126" t="s">
        <v>21</v>
      </c>
      <c r="D13" s="127"/>
      <c r="E13" s="129">
        <f>SUM(E11:F12)</f>
        <v>50000000</v>
      </c>
      <c r="F13" s="114"/>
    </row>
    <row r="14" spans="3:8" ht="15" customHeight="1" thickBot="1" x14ac:dyDescent="0.3">
      <c r="C14" s="11"/>
      <c r="D14" s="12"/>
      <c r="E14" s="13"/>
    </row>
    <row r="15" spans="3:8" x14ac:dyDescent="0.25">
      <c r="C15" s="142" t="s">
        <v>22</v>
      </c>
      <c r="D15" s="143"/>
      <c r="E15" s="143"/>
      <c r="F15" s="144"/>
    </row>
    <row r="16" spans="3:8" s="61" customFormat="1" x14ac:dyDescent="0.25">
      <c r="C16" s="160" t="s">
        <v>30</v>
      </c>
      <c r="D16" s="160"/>
      <c r="E16" s="159">
        <v>0</v>
      </c>
      <c r="F16" s="159"/>
    </row>
    <row r="17" spans="3:7" s="61" customFormat="1" ht="45.75" customHeight="1" x14ac:dyDescent="0.25">
      <c r="C17" s="160" t="s">
        <v>42</v>
      </c>
      <c r="D17" s="160"/>
      <c r="E17" s="159">
        <v>0</v>
      </c>
      <c r="F17" s="159"/>
    </row>
    <row r="18" spans="3:7" s="61" customFormat="1" ht="83.25" customHeight="1" x14ac:dyDescent="0.25">
      <c r="C18" s="160" t="s">
        <v>52</v>
      </c>
      <c r="D18" s="160"/>
      <c r="E18" s="159">
        <v>0</v>
      </c>
      <c r="F18" s="159"/>
    </row>
    <row r="19" spans="3:7" s="60" customFormat="1" ht="32.25" customHeight="1" x14ac:dyDescent="0.25">
      <c r="C19" s="136" t="s">
        <v>39</v>
      </c>
      <c r="D19" s="136"/>
      <c r="E19" s="159">
        <f>+E21</f>
        <v>1300000</v>
      </c>
      <c r="F19" s="159"/>
    </row>
    <row r="20" spans="3:7" s="60" customFormat="1" ht="32.25" customHeight="1" x14ac:dyDescent="0.25">
      <c r="C20" s="136" t="s">
        <v>94</v>
      </c>
      <c r="D20" s="136"/>
      <c r="E20" s="191">
        <f>+IF(E11&gt;20*H5,E11*2%,IF(E11&gt;$H$1*19,E11*1.8%,IF(E11&gt;18*$H$1,E11*1.6%,IF(E11&gt;$H$1*17,E11*1.4%,IF(E11&gt;16*$H$1,E11*1.2%,IF(E11&gt;$H$1*4,E11*1%,0))))))</f>
        <v>1000000</v>
      </c>
      <c r="F20" s="192"/>
    </row>
    <row r="21" spans="3:7" s="60" customFormat="1" x14ac:dyDescent="0.25">
      <c r="C21" s="135" t="s">
        <v>93</v>
      </c>
      <c r="D21" s="136"/>
      <c r="E21" s="133">
        <f>+MIN(E11*4%,H1*25*4%)</f>
        <v>1300000</v>
      </c>
      <c r="F21" s="134"/>
    </row>
    <row r="22" spans="3:7" s="60" customFormat="1" ht="15" customHeight="1" x14ac:dyDescent="0.25">
      <c r="C22" s="137" t="s">
        <v>23</v>
      </c>
      <c r="D22" s="138"/>
      <c r="E22" s="139">
        <f>SUM(E16:F21)</f>
        <v>3600000</v>
      </c>
      <c r="F22" s="140"/>
    </row>
    <row r="23" spans="3:7" s="60" customFormat="1" ht="15" customHeight="1" thickBot="1" x14ac:dyDescent="0.3">
      <c r="C23" s="126" t="s">
        <v>0</v>
      </c>
      <c r="D23" s="127"/>
      <c r="E23" s="129">
        <f>+E13-E22</f>
        <v>46400000</v>
      </c>
      <c r="F23" s="114"/>
    </row>
    <row r="24" spans="3:7" s="60" customFormat="1" ht="15" customHeight="1" thickBot="1" x14ac:dyDescent="0.3">
      <c r="C24" s="55"/>
      <c r="D24" s="56"/>
      <c r="E24" s="62"/>
    </row>
    <row r="25" spans="3:7" ht="15.75" thickBot="1" x14ac:dyDescent="0.3">
      <c r="C25" s="115" t="s">
        <v>24</v>
      </c>
      <c r="D25" s="116"/>
      <c r="E25" s="116"/>
      <c r="F25" s="128"/>
    </row>
    <row r="26" spans="3:7" s="60" customFormat="1" ht="47.25" customHeight="1" x14ac:dyDescent="0.35">
      <c r="C26" s="151" t="s">
        <v>95</v>
      </c>
      <c r="D26" s="152"/>
      <c r="E26" s="150">
        <v>0</v>
      </c>
      <c r="F26" s="146"/>
      <c r="G26" s="57">
        <f>100*$F$7</f>
        <v>4706500</v>
      </c>
    </row>
    <row r="27" spans="3:7" s="60" customFormat="1" ht="51" customHeight="1" x14ac:dyDescent="0.35">
      <c r="C27" s="135" t="s">
        <v>96</v>
      </c>
      <c r="D27" s="136"/>
      <c r="E27" s="133">
        <v>0</v>
      </c>
      <c r="F27" s="134"/>
      <c r="G27" s="57">
        <f>+MIN(32*$F$7,E13*10%)</f>
        <v>1506080</v>
      </c>
    </row>
    <row r="28" spans="3:7" s="60" customFormat="1" ht="34.5" customHeight="1" x14ac:dyDescent="0.35">
      <c r="C28" s="135" t="s">
        <v>97</v>
      </c>
      <c r="D28" s="136"/>
      <c r="E28" s="133">
        <v>0</v>
      </c>
      <c r="F28" s="134"/>
      <c r="G28" s="57">
        <f>16*$F$7</f>
        <v>753040</v>
      </c>
    </row>
    <row r="29" spans="3:7" s="60" customFormat="1" x14ac:dyDescent="0.25">
      <c r="C29" s="141" t="s">
        <v>40</v>
      </c>
      <c r="D29" s="83"/>
      <c r="E29" s="133">
        <v>0</v>
      </c>
      <c r="F29" s="134"/>
    </row>
    <row r="30" spans="3:7" s="60" customFormat="1" ht="15" customHeight="1" x14ac:dyDescent="0.25">
      <c r="C30" s="155" t="s">
        <v>3</v>
      </c>
      <c r="D30" s="156"/>
      <c r="E30" s="139">
        <f>SUM(E26:F29)</f>
        <v>0</v>
      </c>
      <c r="F30" s="140"/>
    </row>
    <row r="31" spans="3:7" s="60" customFormat="1" ht="15.75" thickBot="1" x14ac:dyDescent="0.3">
      <c r="C31" s="126" t="s">
        <v>2</v>
      </c>
      <c r="D31" s="127"/>
      <c r="E31" s="113">
        <f>+E23-E30</f>
        <v>46400000</v>
      </c>
      <c r="F31" s="114"/>
    </row>
    <row r="32" spans="3:7" ht="15.75" thickBot="1" x14ac:dyDescent="0.3">
      <c r="C32" s="10"/>
      <c r="D32" s="14"/>
      <c r="E32" s="15"/>
    </row>
    <row r="33" spans="3:8" ht="15.75" thickBot="1" x14ac:dyDescent="0.3">
      <c r="C33" s="115" t="s">
        <v>25</v>
      </c>
      <c r="D33" s="116"/>
      <c r="E33" s="116"/>
      <c r="F33" s="128"/>
    </row>
    <row r="34" spans="3:8" s="60" customFormat="1" x14ac:dyDescent="0.25">
      <c r="C34" s="153" t="s">
        <v>55</v>
      </c>
      <c r="D34" s="154"/>
      <c r="E34" s="150">
        <v>20000000</v>
      </c>
      <c r="F34" s="146"/>
      <c r="G34" s="193">
        <f>+MIN((3800/12)*$F$7,E23*30%)</f>
        <v>13920000</v>
      </c>
    </row>
    <row r="35" spans="3:8" s="60" customFormat="1" ht="70.5" customHeight="1" x14ac:dyDescent="0.25">
      <c r="C35" s="135" t="s">
        <v>98</v>
      </c>
      <c r="D35" s="136"/>
      <c r="E35" s="133">
        <v>20000000</v>
      </c>
      <c r="F35" s="134"/>
      <c r="G35" s="193"/>
    </row>
    <row r="36" spans="3:8" s="60" customFormat="1" x14ac:dyDescent="0.25">
      <c r="C36" s="135" t="s">
        <v>54</v>
      </c>
      <c r="D36" s="136"/>
      <c r="E36" s="133"/>
      <c r="F36" s="134"/>
    </row>
    <row r="37" spans="3:8" s="60" customFormat="1" ht="15.75" customHeight="1" x14ac:dyDescent="0.25">
      <c r="C37" s="155" t="s">
        <v>5</v>
      </c>
      <c r="D37" s="156"/>
      <c r="E37" s="139">
        <f>+E36+MIN(E34+E35,G34)</f>
        <v>13920000</v>
      </c>
      <c r="F37" s="140"/>
    </row>
    <row r="38" spans="3:8" s="60" customFormat="1" ht="15.75" thickBot="1" x14ac:dyDescent="0.3">
      <c r="C38" s="126" t="s">
        <v>6</v>
      </c>
      <c r="D38" s="127"/>
      <c r="E38" s="113">
        <f>+E31-E37</f>
        <v>32480000</v>
      </c>
      <c r="F38" s="114"/>
    </row>
    <row r="39" spans="3:8" s="60" customFormat="1" ht="15.75" customHeight="1" thickBot="1" x14ac:dyDescent="0.3">
      <c r="C39" s="55"/>
      <c r="E39" s="63"/>
      <c r="F39" s="64"/>
    </row>
    <row r="40" spans="3:8" s="60" customFormat="1" ht="29.25" customHeight="1" x14ac:dyDescent="0.35">
      <c r="C40" s="151" t="s">
        <v>99</v>
      </c>
      <c r="D40" s="152"/>
      <c r="E40" s="157">
        <f>+E38*25%</f>
        <v>8120000</v>
      </c>
      <c r="F40" s="158"/>
      <c r="G40" s="57">
        <f>+(65.8333333333333)*$F$7</f>
        <v>3098445.833333333</v>
      </c>
    </row>
    <row r="41" spans="3:8" s="60" customFormat="1" ht="15.75" thickBot="1" x14ac:dyDescent="0.3">
      <c r="C41" s="126" t="s">
        <v>4</v>
      </c>
      <c r="D41" s="127"/>
      <c r="E41" s="113">
        <f>+E38-MIN(E40,G40)</f>
        <v>29381554.166666668</v>
      </c>
      <c r="F41" s="114"/>
    </row>
    <row r="42" spans="3:8" s="60" customFormat="1" x14ac:dyDescent="0.25">
      <c r="C42" s="65"/>
      <c r="D42" s="66"/>
      <c r="E42" s="56"/>
      <c r="F42" s="67"/>
    </row>
    <row r="43" spans="3:8" ht="33" customHeight="1" x14ac:dyDescent="0.25">
      <c r="C43" s="112" t="s">
        <v>100</v>
      </c>
      <c r="D43" s="112"/>
      <c r="E43" s="112"/>
      <c r="F43" s="112"/>
    </row>
    <row r="44" spans="3:8" ht="15.75" thickBot="1" x14ac:dyDescent="0.3">
      <c r="C44" s="16"/>
      <c r="D44" s="17"/>
      <c r="E44" s="12"/>
      <c r="F44" s="9"/>
    </row>
    <row r="45" spans="3:8" s="60" customFormat="1" ht="15.75" thickBot="1" x14ac:dyDescent="0.3">
      <c r="C45" s="122" t="s">
        <v>101</v>
      </c>
      <c r="D45" s="123"/>
      <c r="E45" s="124">
        <f>+MIN(E23*40%,(111.666666666667)*F7)</f>
        <v>5255591.6666666819</v>
      </c>
      <c r="F45" s="125"/>
    </row>
    <row r="46" spans="3:8" ht="15.75" thickBot="1" x14ac:dyDescent="0.3">
      <c r="C46" s="16"/>
      <c r="D46" s="17"/>
      <c r="E46" s="12"/>
      <c r="F46" s="9"/>
      <c r="H46" s="22"/>
    </row>
    <row r="47" spans="3:8" ht="15.75" thickBot="1" x14ac:dyDescent="0.3">
      <c r="C47" s="115" t="s">
        <v>8</v>
      </c>
      <c r="D47" s="116"/>
      <c r="E47" s="117">
        <f>+IF((E30+E37+E40)&lt;E45,+E41,+E23-E45)</f>
        <v>41144408.333333321</v>
      </c>
      <c r="F47" s="118"/>
    </row>
    <row r="48" spans="3:8" ht="15.75" customHeight="1" thickBot="1" x14ac:dyDescent="0.3">
      <c r="C48" s="115" t="s">
        <v>26</v>
      </c>
      <c r="D48" s="116"/>
      <c r="E48" s="120">
        <f>+'Porcentaje fijo %'!F53</f>
        <v>0.28651370801141141</v>
      </c>
      <c r="F48" s="121"/>
    </row>
    <row r="49" spans="3:6" x14ac:dyDescent="0.25">
      <c r="C49" s="119" t="s">
        <v>27</v>
      </c>
      <c r="D49" s="119"/>
      <c r="E49" s="119">
        <f>+E47*E48</f>
        <v>11788436.995518945</v>
      </c>
      <c r="F49" s="119"/>
    </row>
    <row r="50" spans="3:6" x14ac:dyDescent="0.25">
      <c r="F50" s="194"/>
    </row>
  </sheetData>
  <mergeCells count="65">
    <mergeCell ref="C33:F33"/>
    <mergeCell ref="C20:D20"/>
    <mergeCell ref="E20:F20"/>
    <mergeCell ref="G34:G35"/>
    <mergeCell ref="E31:F31"/>
    <mergeCell ref="C30:D30"/>
    <mergeCell ref="C31:D31"/>
    <mergeCell ref="D1:F1"/>
    <mergeCell ref="E16:F16"/>
    <mergeCell ref="E17:F17"/>
    <mergeCell ref="E18:F18"/>
    <mergeCell ref="C16:D16"/>
    <mergeCell ref="C17:D17"/>
    <mergeCell ref="C18:D18"/>
    <mergeCell ref="E19:F19"/>
    <mergeCell ref="C25:F25"/>
    <mergeCell ref="E28:F28"/>
    <mergeCell ref="E30:F30"/>
    <mergeCell ref="C26:D26"/>
    <mergeCell ref="C19:D19"/>
    <mergeCell ref="C40:D40"/>
    <mergeCell ref="E34:F34"/>
    <mergeCell ref="E35:F35"/>
    <mergeCell ref="C34:D34"/>
    <mergeCell ref="C35:D35"/>
    <mergeCell ref="C37:D37"/>
    <mergeCell ref="C38:D38"/>
    <mergeCell ref="E40:F40"/>
    <mergeCell ref="E37:F37"/>
    <mergeCell ref="E38:F38"/>
    <mergeCell ref="C36:D36"/>
    <mergeCell ref="E36:F36"/>
    <mergeCell ref="E29:F29"/>
    <mergeCell ref="C23:D23"/>
    <mergeCell ref="E23:F23"/>
    <mergeCell ref="C22:D22"/>
    <mergeCell ref="E22:F22"/>
    <mergeCell ref="C27:D27"/>
    <mergeCell ref="C28:D28"/>
    <mergeCell ref="C29:D29"/>
    <mergeCell ref="E26:F26"/>
    <mergeCell ref="E13:F13"/>
    <mergeCell ref="C13:D13"/>
    <mergeCell ref="C10:F10"/>
    <mergeCell ref="E27:F27"/>
    <mergeCell ref="C21:D21"/>
    <mergeCell ref="E21:F21"/>
    <mergeCell ref="C15:F15"/>
    <mergeCell ref="E11:F11"/>
    <mergeCell ref="C11:D11"/>
    <mergeCell ref="E12:F12"/>
    <mergeCell ref="D8:E8"/>
    <mergeCell ref="D9:E9"/>
    <mergeCell ref="C12:D12"/>
    <mergeCell ref="C43:F43"/>
    <mergeCell ref="E41:F41"/>
    <mergeCell ref="C47:D47"/>
    <mergeCell ref="E47:F47"/>
    <mergeCell ref="C49:D49"/>
    <mergeCell ref="E49:F49"/>
    <mergeCell ref="C48:D48"/>
    <mergeCell ref="E48:F48"/>
    <mergeCell ref="C45:D45"/>
    <mergeCell ref="E45:F45"/>
    <mergeCell ref="C41:D41"/>
  </mergeCells>
  <hyperlinks>
    <hyperlink ref="C19:D19" location="'TABLA FSP'!A1" display="1. Aportes obligatorios a Pension. (Art. 55 Estatuto Tributario)  Tener en cuenta tabla FSP" xr:uid="{00000000-0004-0000-0100-000000000000}"/>
    <hyperlink ref="C20:D20" location="'TABLA FSP'!A1" display="1. Aportes obligatorios a Pension. (Art. 55 Estatuto Tributario)  Tener en cuenta tabla FSP" xr:uid="{E39642DE-872E-497E-9FD1-CB0369380C8D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0"/>
  <sheetViews>
    <sheetView workbookViewId="0">
      <selection activeCell="A4" sqref="A4"/>
    </sheetView>
  </sheetViews>
  <sheetFormatPr baseColWidth="10" defaultRowHeight="15" x14ac:dyDescent="0.25"/>
  <cols>
    <col min="2" max="5" width="23" customWidth="1"/>
    <col min="6" max="6" width="12" bestFit="1" customWidth="1"/>
  </cols>
  <sheetData>
    <row r="1" spans="2:8" x14ac:dyDescent="0.25">
      <c r="B1" s="163" t="s">
        <v>43</v>
      </c>
      <c r="C1" s="164"/>
      <c r="D1" s="164"/>
      <c r="E1" s="165"/>
    </row>
    <row r="2" spans="2:8" x14ac:dyDescent="0.25">
      <c r="B2" s="166"/>
      <c r="C2" s="167"/>
      <c r="D2" s="167"/>
      <c r="E2" s="168"/>
    </row>
    <row r="3" spans="2:8" x14ac:dyDescent="0.25">
      <c r="B3" s="166"/>
      <c r="C3" s="167"/>
      <c r="D3" s="167"/>
      <c r="E3" s="168"/>
    </row>
    <row r="4" spans="2:8" ht="15.75" x14ac:dyDescent="0.25">
      <c r="B4" s="169" t="s">
        <v>44</v>
      </c>
      <c r="C4" s="169"/>
      <c r="D4" s="169" t="s">
        <v>45</v>
      </c>
      <c r="E4" s="169"/>
      <c r="G4" s="23"/>
      <c r="H4" s="23"/>
    </row>
    <row r="5" spans="2:8" ht="15.75" x14ac:dyDescent="0.25">
      <c r="B5" s="161" t="s">
        <v>46</v>
      </c>
      <c r="C5" s="161"/>
      <c r="D5" s="162">
        <v>0.01</v>
      </c>
      <c r="E5" s="162"/>
      <c r="F5" s="23"/>
      <c r="G5" s="23"/>
      <c r="H5" s="23"/>
    </row>
    <row r="6" spans="2:8" ht="15.75" x14ac:dyDescent="0.25">
      <c r="B6" s="161" t="s">
        <v>47</v>
      </c>
      <c r="C6" s="161"/>
      <c r="D6" s="162">
        <v>1.2E-2</v>
      </c>
      <c r="E6" s="162"/>
      <c r="F6" s="23"/>
      <c r="G6" s="23"/>
    </row>
    <row r="7" spans="2:8" ht="15.75" x14ac:dyDescent="0.25">
      <c r="B7" s="161" t="s">
        <v>48</v>
      </c>
      <c r="C7" s="161"/>
      <c r="D7" s="162">
        <v>1.4E-2</v>
      </c>
      <c r="E7" s="162"/>
      <c r="F7" s="23"/>
      <c r="G7" s="23"/>
    </row>
    <row r="8" spans="2:8" ht="15.75" x14ac:dyDescent="0.25">
      <c r="B8" s="161" t="s">
        <v>49</v>
      </c>
      <c r="C8" s="161"/>
      <c r="D8" s="162">
        <v>1.6E-2</v>
      </c>
      <c r="E8" s="162"/>
      <c r="F8" s="23"/>
      <c r="G8" s="23"/>
    </row>
    <row r="9" spans="2:8" ht="15.75" x14ac:dyDescent="0.25">
      <c r="B9" s="161" t="s">
        <v>50</v>
      </c>
      <c r="C9" s="161"/>
      <c r="D9" s="162">
        <v>1.7999999999999999E-2</v>
      </c>
      <c r="E9" s="162"/>
      <c r="F9" s="23"/>
      <c r="G9" s="23"/>
    </row>
    <row r="10" spans="2:8" ht="15.75" x14ac:dyDescent="0.25">
      <c r="B10" s="161" t="s">
        <v>51</v>
      </c>
      <c r="C10" s="161"/>
      <c r="D10" s="162">
        <v>0.02</v>
      </c>
      <c r="E10" s="162"/>
      <c r="F10" s="23"/>
    </row>
  </sheetData>
  <mergeCells count="15">
    <mergeCell ref="B10:C10"/>
    <mergeCell ref="D10:E10"/>
    <mergeCell ref="B7:C7"/>
    <mergeCell ref="D7:E7"/>
    <mergeCell ref="B8:C8"/>
    <mergeCell ref="D8:E8"/>
    <mergeCell ref="B9:C9"/>
    <mergeCell ref="D9:E9"/>
    <mergeCell ref="B6:C6"/>
    <mergeCell ref="D6:E6"/>
    <mergeCell ref="B1:E3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Porcentaje fijo %</vt:lpstr>
      <vt:lpstr>Aplicacion mensual</vt:lpstr>
      <vt:lpstr>FSP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 Revisores</dc:creator>
  <cp:lastModifiedBy>User</cp:lastModifiedBy>
  <dcterms:created xsi:type="dcterms:W3CDTF">2017-05-04T13:25:57Z</dcterms:created>
  <dcterms:modified xsi:type="dcterms:W3CDTF">2024-02-21T23:14:44Z</dcterms:modified>
</cp:coreProperties>
</file>